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DFAC664-5531-4E9C-8EE1-E27418C60D6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8" i="1" l="1"/>
  <c r="F28" i="1"/>
  <c r="G28" i="1"/>
  <c r="J28" i="1"/>
  <c r="E30" i="1"/>
  <c r="F30" i="1"/>
  <c r="G30" i="1"/>
  <c r="J30" i="1"/>
  <c r="E31" i="1"/>
  <c r="F31" i="1"/>
  <c r="G31" i="1"/>
  <c r="K31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U25" i="1"/>
  <c r="E26" i="1"/>
  <c r="F26" i="1"/>
  <c r="G26" i="1"/>
  <c r="J26" i="1"/>
  <c r="E27" i="1"/>
  <c r="F27" i="1"/>
  <c r="G27" i="1"/>
  <c r="K27" i="1"/>
  <c r="E29" i="1"/>
  <c r="F29" i="1"/>
  <c r="G29" i="1"/>
  <c r="I29" i="1"/>
  <c r="E32" i="1"/>
  <c r="F32" i="1"/>
  <c r="G32" i="1"/>
  <c r="K32" i="1"/>
  <c r="E34" i="1"/>
  <c r="F34" i="1"/>
  <c r="G34" i="1"/>
  <c r="K34" i="1"/>
  <c r="E33" i="1"/>
  <c r="F33" i="1"/>
  <c r="G33" i="1"/>
  <c r="K33" i="1"/>
  <c r="D9" i="1"/>
  <c r="C9" i="1"/>
  <c r="Q21" i="1"/>
  <c r="Q22" i="1"/>
  <c r="Q23" i="1"/>
  <c r="Q24" i="1"/>
  <c r="Q25" i="1"/>
  <c r="Q26" i="1"/>
  <c r="Q27" i="1"/>
  <c r="Q29" i="1"/>
  <c r="Q32" i="1"/>
  <c r="Q34" i="1"/>
  <c r="G15" i="2"/>
  <c r="C15" i="2"/>
  <c r="E15" i="2"/>
  <c r="G16" i="2"/>
  <c r="C16" i="2"/>
  <c r="E16" i="2"/>
  <c r="G17" i="2"/>
  <c r="C17" i="2"/>
  <c r="E17" i="2"/>
  <c r="G18" i="2"/>
  <c r="C18" i="2"/>
  <c r="E18" i="2"/>
  <c r="G19" i="2"/>
  <c r="C19" i="2"/>
  <c r="E19" i="2"/>
  <c r="G20" i="2"/>
  <c r="C20" i="2"/>
  <c r="E20" i="2"/>
  <c r="G11" i="2"/>
  <c r="C11" i="2"/>
  <c r="E11" i="2"/>
  <c r="G21" i="2"/>
  <c r="C21" i="2"/>
  <c r="E21" i="2"/>
  <c r="G12" i="2"/>
  <c r="C12" i="2"/>
  <c r="E12" i="2"/>
  <c r="G13" i="2"/>
  <c r="C13" i="2"/>
  <c r="E13" i="2"/>
  <c r="G22" i="2"/>
  <c r="C22" i="2"/>
  <c r="E22" i="2"/>
  <c r="G23" i="2"/>
  <c r="C23" i="2"/>
  <c r="E23" i="2"/>
  <c r="G14" i="2"/>
  <c r="C14" i="2"/>
  <c r="E14" i="2"/>
  <c r="H23" i="2"/>
  <c r="D23" i="2"/>
  <c r="B23" i="2"/>
  <c r="A23" i="2"/>
  <c r="H22" i="2"/>
  <c r="D22" i="2"/>
  <c r="B22" i="2"/>
  <c r="A22" i="2"/>
  <c r="H13" i="2"/>
  <c r="D13" i="2"/>
  <c r="B13" i="2"/>
  <c r="A13" i="2"/>
  <c r="H12" i="2"/>
  <c r="D12" i="2"/>
  <c r="B12" i="2"/>
  <c r="A12" i="2"/>
  <c r="H21" i="2"/>
  <c r="D21" i="2"/>
  <c r="B21" i="2"/>
  <c r="A21" i="2"/>
  <c r="H11" i="2"/>
  <c r="D11" i="2"/>
  <c r="B11" i="2"/>
  <c r="A1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Q33" i="1"/>
  <c r="Q31" i="1"/>
  <c r="F16" i="1"/>
  <c r="F17" i="1" s="1"/>
  <c r="C17" i="1"/>
  <c r="Q28" i="1"/>
  <c r="Q30" i="1"/>
  <c r="C11" i="1"/>
  <c r="C12" i="1"/>
  <c r="C16" i="1" l="1"/>
  <c r="D18" i="1" s="1"/>
  <c r="O22" i="1"/>
  <c r="O24" i="1"/>
  <c r="O25" i="1"/>
  <c r="O26" i="1"/>
  <c r="O33" i="1"/>
  <c r="O34" i="1"/>
  <c r="O29" i="1"/>
  <c r="C15" i="1"/>
  <c r="F18" i="1" s="1"/>
  <c r="O28" i="1"/>
  <c r="O23" i="1"/>
  <c r="O32" i="1"/>
  <c r="O27" i="1"/>
  <c r="O30" i="1"/>
  <c r="O21" i="1"/>
  <c r="O31" i="1"/>
  <c r="F19" i="1" l="1"/>
  <c r="C18" i="1"/>
</calcChain>
</file>

<file path=xl/comments1.xml><?xml version="1.0" encoding="utf-8"?>
<comments xmlns="http://schemas.openxmlformats.org/spreadsheetml/2006/main">
  <authors>
    <author>Bob</author>
  </authors>
  <commentList>
    <comment ref="B9" authorId="0" shapeId="0">
      <text>
        <r>
          <rPr>
            <b/>
            <sz val="8"/>
            <color indexed="81"/>
            <rFont val="Tahoma"/>
            <family val="2"/>
          </rPr>
          <t>Bob: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<sst xmlns="http://schemas.openxmlformats.org/spreadsheetml/2006/main" count="203" uniqueCount="125">
  <si>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</si>
  <si>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</si>
  <si>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</si>
  <si>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</si>
  <si>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</si>
  <si>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</si>
  <si>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</si>
  <si>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</si>
  <si>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</si>
  <si>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</si>
  <si>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</si>
  <si>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</si>
  <si>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</si>
  <si>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</si>
  <si>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</si>
  <si>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</si>
  <si>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</si>
  <si>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</si>
  <si>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</si>
  <si>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</si>
  <si>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</si>
  <si>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</si>
  <si>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</si>
  <si>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</si>
  <si>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not avail.</t>
  </si>
  <si>
    <t># of data points:</t>
  </si>
  <si>
    <t>from VSX</t>
  </si>
  <si>
    <t>IBVS 5643</t>
  </si>
  <si>
    <t>EA</t>
  </si>
  <si>
    <t>V1490 Aql / GSC 01062-00033</t>
  </si>
  <si>
    <t>IBVS 4711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</si>
  <si>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</si>
  <si>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</si>
  <si>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</si>
  <si>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</si>
  <si>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</si>
  <si>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</si>
  <si>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</si>
  <si>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</si>
  <si>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</si>
  <si>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5997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</si>
  <si>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</si>
  <si>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</si>
  <si>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</si>
  <si>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</si>
  <si>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</si>
  <si>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</si>
  <si>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</si>
  <si>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</si>
  <si>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</si>
  <si>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</si>
  <si>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</si>
  <si>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</si>
  <si>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</si>
  <si>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2450702.415 </t>
  </si>
  <si>
    <t> 10.09.1997 21:57 </t>
  </si>
  <si>
    <t> -0.021 </t>
  </si>
  <si>
    <t> K.Bernhard </t>
  </si>
  <si>
    <t>IBVS 4540 </t>
  </si>
  <si>
    <t>2450715.36 </t>
  </si>
  <si>
    <t> 23.09.1997 20:38 </t>
  </si>
  <si>
    <t> -0.00 </t>
  </si>
  <si>
    <t>E </t>
  </si>
  <si>
    <t>?</t>
  </si>
  <si>
    <t>2450728.28 </t>
  </si>
  <si>
    <t> 06.10.1997 18:43 </t>
  </si>
  <si>
    <t> -0.01 </t>
  </si>
  <si>
    <t>2450741.235 </t>
  </si>
  <si>
    <t> 19.10.1997 17:38 </t>
  </si>
  <si>
    <t> 0.017 </t>
  </si>
  <si>
    <t> W.Quester </t>
  </si>
  <si>
    <t>2450744.37 </t>
  </si>
  <si>
    <t> 22.10.1997 20:52 </t>
  </si>
  <si>
    <t> -0.08 </t>
  </si>
  <si>
    <t>2450749.2947 </t>
  </si>
  <si>
    <t> 27.10.1997 19:04 </t>
  </si>
  <si>
    <t> -0.0029 </t>
  </si>
  <si>
    <t>-I</t>
  </si>
  <si>
    <t>BAVM 152 </t>
  </si>
  <si>
    <t>2450758.98 </t>
  </si>
  <si>
    <t> 06.11.1997 11:31 </t>
  </si>
  <si>
    <t>-3095</t>
  </si>
  <si>
    <t> S.Kiyota </t>
  </si>
  <si>
    <t>2451043.3877 </t>
  </si>
  <si>
    <t> 17.08.1998 21:18 </t>
  </si>
  <si>
    <t>-2919</t>
  </si>
  <si>
    <t> -0.0046 </t>
  </si>
  <si>
    <t>BAVM 117 </t>
  </si>
  <si>
    <t>2452150.314 </t>
  </si>
  <si>
    <t> 28.08.2001 19:32 </t>
  </si>
  <si>
    <t>-2234</t>
  </si>
  <si>
    <t> 0.026 </t>
  </si>
  <si>
    <t> R.Diethelm </t>
  </si>
  <si>
    <t> BBS 126 </t>
  </si>
  <si>
    <t>2452856.4380 </t>
  </si>
  <si>
    <t> 04.08.2003 22:30 </t>
  </si>
  <si>
    <t>-1797</t>
  </si>
  <si>
    <t> -0.0002 </t>
  </si>
  <si>
    <t>BAVM 172 </t>
  </si>
  <si>
    <t>2455755.3731 </t>
  </si>
  <si>
    <t> 12.07.2011 20:57 </t>
  </si>
  <si>
    <t>-3</t>
  </si>
  <si>
    <t> 0.0006 </t>
  </si>
  <si>
    <t>C </t>
  </si>
  <si>
    <t>R</t>
  </si>
  <si>
    <t> G.Marino </t>
  </si>
  <si>
    <t>IBVS 5997 </t>
  </si>
  <si>
    <t>2455760.2202 </t>
  </si>
  <si>
    <t> 17.07.2011 17:17 </t>
  </si>
  <si>
    <t>0</t>
  </si>
  <si>
    <t> 0.0000 </t>
  </si>
  <si>
    <t> H.Itoh </t>
  </si>
  <si>
    <t>VSB 53 </t>
  </si>
  <si>
    <t>2457214.5021 </t>
  </si>
  <si>
    <t> 11.07.2015 00:03 </t>
  </si>
  <si>
    <t>900</t>
  </si>
  <si>
    <t> -0.0330 </t>
  </si>
  <si>
    <t> F.Agerer </t>
  </si>
  <si>
    <t>BAVM 241 (=IBVS 6157) </t>
  </si>
  <si>
    <t>s5</t>
  </si>
  <si>
    <t>s6</t>
  </si>
  <si>
    <t>s7</t>
  </si>
  <si>
    <t>IBVS 4540</t>
  </si>
  <si>
    <t>BAD?</t>
  </si>
  <si>
    <t>IBVS 6157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</si>
</sst>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3" fillId="0" borderId="1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/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9" fillId="0" borderId="2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V1490 Aql - O-C Diagr.</a:t>
            </a:r>
          </a:p>
        </c:rich>
      </c:tx>
      <c:layout>
        <c:manualLayout>
          <c:xMode val="edge"/>
          <c:yMode val="edge"/>
          <c:x val="0.361874329521410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109861001442757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-1333</c:v>
                </c:pt>
                <c:pt idx="1">
                  <c:v>-1325</c:v>
                </c:pt>
                <c:pt idx="2">
                  <c:v>-1317</c:v>
                </c:pt>
                <c:pt idx="3">
                  <c:v>-1309</c:v>
                </c:pt>
                <c:pt idx="4">
                  <c:v>-1307</c:v>
                </c:pt>
                <c:pt idx="5">
                  <c:v>-1304</c:v>
                </c:pt>
                <c:pt idx="6">
                  <c:v>-1298</c:v>
                </c:pt>
                <c:pt idx="7">
                  <c:v>-1122</c:v>
                </c:pt>
                <c:pt idx="8">
                  <c:v>-437</c:v>
                </c:pt>
                <c:pt idx="9">
                  <c:v>0</c:v>
                </c:pt>
                <c:pt idx="10">
                  <c:v>1794</c:v>
                </c:pt>
                <c:pt idx="11">
                  <c:v>1797</c:v>
                </c:pt>
                <c:pt idx="12">
                  <c:v>2450</c:v>
                </c:pt>
                <c:pt idx="13">
                  <c:v>2697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F7-4C73-8034-753BA04EC15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0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0</c:v>
                  </c:pt>
                  <c:pt idx="12">
                    <c:v>1.5E-3</c:v>
                  </c:pt>
                  <c:pt idx="13">
                    <c:v>3.3E-3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0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0</c:v>
                  </c:pt>
                  <c:pt idx="12">
                    <c:v>1.5E-3</c:v>
                  </c:pt>
                  <c:pt idx="13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-1333</c:v>
                </c:pt>
                <c:pt idx="1">
                  <c:v>-1325</c:v>
                </c:pt>
                <c:pt idx="2">
                  <c:v>-1317</c:v>
                </c:pt>
                <c:pt idx="3">
                  <c:v>-1309</c:v>
                </c:pt>
                <c:pt idx="4">
                  <c:v>-1307</c:v>
                </c:pt>
                <c:pt idx="5">
                  <c:v>-1304</c:v>
                </c:pt>
                <c:pt idx="6">
                  <c:v>-1298</c:v>
                </c:pt>
                <c:pt idx="7">
                  <c:v>-1122</c:v>
                </c:pt>
                <c:pt idx="8">
                  <c:v>-437</c:v>
                </c:pt>
                <c:pt idx="9">
                  <c:v>0</c:v>
                </c:pt>
                <c:pt idx="10">
                  <c:v>1794</c:v>
                </c:pt>
                <c:pt idx="11">
                  <c:v>1797</c:v>
                </c:pt>
                <c:pt idx="12">
                  <c:v>2450</c:v>
                </c:pt>
                <c:pt idx="13">
                  <c:v>2697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8">
                  <c:v>4.0468999999575317E-2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F7-4C73-8034-753BA04EC15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0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0</c:v>
                  </c:pt>
                  <c:pt idx="12">
                    <c:v>1.5E-3</c:v>
                  </c:pt>
                  <c:pt idx="13">
                    <c:v>3.3E-3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0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0</c:v>
                  </c:pt>
                  <c:pt idx="12">
                    <c:v>1.5E-3</c:v>
                  </c:pt>
                  <c:pt idx="13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-1333</c:v>
                </c:pt>
                <c:pt idx="1">
                  <c:v>-1325</c:v>
                </c:pt>
                <c:pt idx="2">
                  <c:v>-1317</c:v>
                </c:pt>
                <c:pt idx="3">
                  <c:v>-1309</c:v>
                </c:pt>
                <c:pt idx="4">
                  <c:v>-1307</c:v>
                </c:pt>
                <c:pt idx="5">
                  <c:v>-1304</c:v>
                </c:pt>
                <c:pt idx="6">
                  <c:v>-1298</c:v>
                </c:pt>
                <c:pt idx="7">
                  <c:v>-1122</c:v>
                </c:pt>
                <c:pt idx="8">
                  <c:v>-437</c:v>
                </c:pt>
                <c:pt idx="9">
                  <c:v>0</c:v>
                </c:pt>
                <c:pt idx="10">
                  <c:v>1794</c:v>
                </c:pt>
                <c:pt idx="11">
                  <c:v>1797</c:v>
                </c:pt>
                <c:pt idx="12">
                  <c:v>2450</c:v>
                </c:pt>
                <c:pt idx="13">
                  <c:v>2697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5">
                  <c:v>3.8547999996808358E-2</c:v>
                </c:pt>
                <c:pt idx="7">
                  <c:v>3.1014000000141095E-2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F7-4C73-8034-753BA04EC15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0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0</c:v>
                  </c:pt>
                  <c:pt idx="12">
                    <c:v>1.5E-3</c:v>
                  </c:pt>
                  <c:pt idx="13">
                    <c:v>3.3E-3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0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0</c:v>
                  </c:pt>
                  <c:pt idx="12">
                    <c:v>1.5E-3</c:v>
                  </c:pt>
                  <c:pt idx="13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-1333</c:v>
                </c:pt>
                <c:pt idx="1">
                  <c:v>-1325</c:v>
                </c:pt>
                <c:pt idx="2">
                  <c:v>-1317</c:v>
                </c:pt>
                <c:pt idx="3">
                  <c:v>-1309</c:v>
                </c:pt>
                <c:pt idx="4">
                  <c:v>-1307</c:v>
                </c:pt>
                <c:pt idx="5">
                  <c:v>-1304</c:v>
                </c:pt>
                <c:pt idx="6">
                  <c:v>-1298</c:v>
                </c:pt>
                <c:pt idx="7">
                  <c:v>-1122</c:v>
                </c:pt>
                <c:pt idx="8">
                  <c:v>-437</c:v>
                </c:pt>
                <c:pt idx="9">
                  <c:v>0</c:v>
                </c:pt>
                <c:pt idx="10">
                  <c:v>1794</c:v>
                </c:pt>
                <c:pt idx="11">
                  <c:v>1797</c:v>
                </c:pt>
                <c:pt idx="12">
                  <c:v>2450</c:v>
                </c:pt>
                <c:pt idx="13">
                  <c:v>2697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2.1021000000473578E-2</c:v>
                </c:pt>
                <c:pt idx="1">
                  <c:v>3.8524999996297993E-2</c:v>
                </c:pt>
                <c:pt idx="2">
                  <c:v>3.1028999997943174E-2</c:v>
                </c:pt>
                <c:pt idx="3">
                  <c:v>5.8532999995804857E-2</c:v>
                </c:pt>
                <c:pt idx="6">
                  <c:v>2.8226000002177898E-2</c:v>
                </c:pt>
                <c:pt idx="10">
                  <c:v>-5.5878000006487127E-2</c:v>
                </c:pt>
                <c:pt idx="11">
                  <c:v>-5.6588999999803491E-2</c:v>
                </c:pt>
                <c:pt idx="12">
                  <c:v>-0.10727000000042608</c:v>
                </c:pt>
                <c:pt idx="13">
                  <c:v>-0.11798900000576396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F7-4C73-8034-753BA04EC15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0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0</c:v>
                  </c:pt>
                  <c:pt idx="12">
                    <c:v>1.5E-3</c:v>
                  </c:pt>
                  <c:pt idx="13">
                    <c:v>3.3E-3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0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0</c:v>
                  </c:pt>
                  <c:pt idx="12">
                    <c:v>1.5E-3</c:v>
                  </c:pt>
                  <c:pt idx="13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-1333</c:v>
                </c:pt>
                <c:pt idx="1">
                  <c:v>-1325</c:v>
                </c:pt>
                <c:pt idx="2">
                  <c:v>-1317</c:v>
                </c:pt>
                <c:pt idx="3">
                  <c:v>-1309</c:v>
                </c:pt>
                <c:pt idx="4">
                  <c:v>-1307</c:v>
                </c:pt>
                <c:pt idx="5">
                  <c:v>-1304</c:v>
                </c:pt>
                <c:pt idx="6">
                  <c:v>-1298</c:v>
                </c:pt>
                <c:pt idx="7">
                  <c:v>-1122</c:v>
                </c:pt>
                <c:pt idx="8">
                  <c:v>-437</c:v>
                </c:pt>
                <c:pt idx="9">
                  <c:v>0</c:v>
                </c:pt>
                <c:pt idx="10">
                  <c:v>1794</c:v>
                </c:pt>
                <c:pt idx="11">
                  <c:v>1797</c:v>
                </c:pt>
                <c:pt idx="12">
                  <c:v>2450</c:v>
                </c:pt>
                <c:pt idx="13">
                  <c:v>2697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F7-4C73-8034-753BA04EC15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0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0</c:v>
                  </c:pt>
                  <c:pt idx="12">
                    <c:v>1.5E-3</c:v>
                  </c:pt>
                  <c:pt idx="13">
                    <c:v>3.3E-3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0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0</c:v>
                  </c:pt>
                  <c:pt idx="12">
                    <c:v>1.5E-3</c:v>
                  </c:pt>
                  <c:pt idx="13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-1333</c:v>
                </c:pt>
                <c:pt idx="1">
                  <c:v>-1325</c:v>
                </c:pt>
                <c:pt idx="2">
                  <c:v>-1317</c:v>
                </c:pt>
                <c:pt idx="3">
                  <c:v>-1309</c:v>
                </c:pt>
                <c:pt idx="4">
                  <c:v>-1307</c:v>
                </c:pt>
                <c:pt idx="5">
                  <c:v>-1304</c:v>
                </c:pt>
                <c:pt idx="6">
                  <c:v>-1298</c:v>
                </c:pt>
                <c:pt idx="7">
                  <c:v>-1122</c:v>
                </c:pt>
                <c:pt idx="8">
                  <c:v>-437</c:v>
                </c:pt>
                <c:pt idx="9">
                  <c:v>0</c:v>
                </c:pt>
                <c:pt idx="10">
                  <c:v>1794</c:v>
                </c:pt>
                <c:pt idx="11">
                  <c:v>1797</c:v>
                </c:pt>
                <c:pt idx="12">
                  <c:v>2450</c:v>
                </c:pt>
                <c:pt idx="13">
                  <c:v>2697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F7-4C73-8034-753BA04EC15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0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0</c:v>
                  </c:pt>
                  <c:pt idx="12">
                    <c:v>1.5E-3</c:v>
                  </c:pt>
                  <c:pt idx="13">
                    <c:v>3.3E-3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0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0</c:v>
                  </c:pt>
                  <c:pt idx="12">
                    <c:v>1.5E-3</c:v>
                  </c:pt>
                  <c:pt idx="13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-1333</c:v>
                </c:pt>
                <c:pt idx="1">
                  <c:v>-1325</c:v>
                </c:pt>
                <c:pt idx="2">
                  <c:v>-1317</c:v>
                </c:pt>
                <c:pt idx="3">
                  <c:v>-1309</c:v>
                </c:pt>
                <c:pt idx="4">
                  <c:v>-1307</c:v>
                </c:pt>
                <c:pt idx="5">
                  <c:v>-1304</c:v>
                </c:pt>
                <c:pt idx="6">
                  <c:v>-1298</c:v>
                </c:pt>
                <c:pt idx="7">
                  <c:v>-1122</c:v>
                </c:pt>
                <c:pt idx="8">
                  <c:v>-437</c:v>
                </c:pt>
                <c:pt idx="9">
                  <c:v>0</c:v>
                </c:pt>
                <c:pt idx="10">
                  <c:v>1794</c:v>
                </c:pt>
                <c:pt idx="11">
                  <c:v>1797</c:v>
                </c:pt>
                <c:pt idx="12">
                  <c:v>2450</c:v>
                </c:pt>
                <c:pt idx="13">
                  <c:v>2697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F7-4C73-8034-753BA04EC15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-1333</c:v>
                </c:pt>
                <c:pt idx="1">
                  <c:v>-1325</c:v>
                </c:pt>
                <c:pt idx="2">
                  <c:v>-1317</c:v>
                </c:pt>
                <c:pt idx="3">
                  <c:v>-1309</c:v>
                </c:pt>
                <c:pt idx="4">
                  <c:v>-1307</c:v>
                </c:pt>
                <c:pt idx="5">
                  <c:v>-1304</c:v>
                </c:pt>
                <c:pt idx="6">
                  <c:v>-1298</c:v>
                </c:pt>
                <c:pt idx="7">
                  <c:v>-1122</c:v>
                </c:pt>
                <c:pt idx="8">
                  <c:v>-437</c:v>
                </c:pt>
                <c:pt idx="9">
                  <c:v>0</c:v>
                </c:pt>
                <c:pt idx="10">
                  <c:v>1794</c:v>
                </c:pt>
                <c:pt idx="11">
                  <c:v>1797</c:v>
                </c:pt>
                <c:pt idx="12">
                  <c:v>2450</c:v>
                </c:pt>
                <c:pt idx="13">
                  <c:v>2697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7.5928751248834858E-2</c:v>
                </c:pt>
                <c:pt idx="1">
                  <c:v>7.555924170468814E-2</c:v>
                </c:pt>
                <c:pt idx="2">
                  <c:v>7.5189732160541423E-2</c:v>
                </c:pt>
                <c:pt idx="3">
                  <c:v>7.4820222616394705E-2</c:v>
                </c:pt>
                <c:pt idx="4">
                  <c:v>7.4727845230358025E-2</c:v>
                </c:pt>
                <c:pt idx="5">
                  <c:v>7.458927915130302E-2</c:v>
                </c:pt>
                <c:pt idx="6">
                  <c:v>7.4312146993192982E-2</c:v>
                </c:pt>
                <c:pt idx="7">
                  <c:v>6.6182937021965232E-2</c:v>
                </c:pt>
                <c:pt idx="8">
                  <c:v>3.4543682304402724E-2</c:v>
                </c:pt>
                <c:pt idx="9">
                  <c:v>1.4359223455388391E-2</c:v>
                </c:pt>
                <c:pt idx="10">
                  <c:v>-6.8503291819512563E-2</c:v>
                </c:pt>
                <c:pt idx="11">
                  <c:v>-6.8641857898567582E-2</c:v>
                </c:pt>
                <c:pt idx="12">
                  <c:v>-9.8803074439543226E-2</c:v>
                </c:pt>
                <c:pt idx="13">
                  <c:v>-0.11021168161507308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F7-4C73-8034-753BA04EC15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-1333</c:v>
                </c:pt>
                <c:pt idx="1">
                  <c:v>-1325</c:v>
                </c:pt>
                <c:pt idx="2">
                  <c:v>-1317</c:v>
                </c:pt>
                <c:pt idx="3">
                  <c:v>-1309</c:v>
                </c:pt>
                <c:pt idx="4">
                  <c:v>-1307</c:v>
                </c:pt>
                <c:pt idx="5">
                  <c:v>-1304</c:v>
                </c:pt>
                <c:pt idx="6">
                  <c:v>-1298</c:v>
                </c:pt>
                <c:pt idx="7">
                  <c:v>-1122</c:v>
                </c:pt>
                <c:pt idx="8">
                  <c:v>-437</c:v>
                </c:pt>
                <c:pt idx="9">
                  <c:v>0</c:v>
                </c:pt>
                <c:pt idx="10">
                  <c:v>1794</c:v>
                </c:pt>
                <c:pt idx="11">
                  <c:v>1797</c:v>
                </c:pt>
                <c:pt idx="12">
                  <c:v>2450</c:v>
                </c:pt>
                <c:pt idx="13">
                  <c:v>2697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4">
                  <c:v>-3.8340999999491032E-2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9F7-4C73-8034-753BA04EC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445304"/>
        <c:axId val="1"/>
      </c:scatterChart>
      <c:valAx>
        <c:axId val="569445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445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55267364600425"/>
          <c:y val="0.92073298764483702"/>
          <c:w val="0.7576743456340978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16</xdr:col>
      <xdr:colOff>285750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22C10CA-F177-29ED-C5AD-18264E7E0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540" TargetMode="External"/><Relationship Id="rId13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4540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454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540" TargetMode="External"/><Relationship Id="rId11" Type="http://schemas.openxmlformats.org/officeDocument/2006/relationships/hyperlink" Target="http://www.konkoly.hu/cgi-bin/IBVS?5997" TargetMode="External"/><Relationship Id="rId5" Type="http://schemas.openxmlformats.org/officeDocument/2006/relationships/hyperlink" Target="http://www.konkoly.hu/cgi-bin/IBVS?4540" TargetMode="External"/><Relationship Id="rId10" Type="http://schemas.openxmlformats.org/officeDocument/2006/relationships/hyperlink" Target="http://www.bav-astro.de/sfs/BAVM_link.php?BAVMnr=172" TargetMode="External"/><Relationship Id="rId4" Type="http://schemas.openxmlformats.org/officeDocument/2006/relationships/hyperlink" Target="http://www.konkoly.hu/cgi-bin/IBVS?4540" TargetMode="External"/><Relationship Id="rId9" Type="http://schemas.openxmlformats.org/officeDocument/2006/relationships/hyperlink" Target="http://www.bav-astro.de/sfs/BAVM_link.php?BAVMnr=1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1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29</v>
      </c>
    </row>
    <row r="2" spans="1:6">
      <c r="A2" t="s">
        <v>23</v>
      </c>
      <c r="B2" t="s">
        <v>28</v>
      </c>
      <c r="C2" s="3"/>
      <c r="D2" s="3"/>
    </row>
    <row r="3" spans="1:6" ht="13.5" thickBot="1"/>
    <row r="4" spans="1:6" ht="14.25" thickTop="1" thickBot="1">
      <c r="A4" s="5" t="s">
        <v>0</v>
      </c>
      <c r="C4" s="8" t="s">
        <v>24</v>
      </c>
      <c r="D4" s="9" t="s">
        <v>24</v>
      </c>
    </row>
    <row r="5" spans="1:6" ht="13.5" thickTop="1">
      <c r="A5" s="15" t="s">
        <v>32</v>
      </c>
      <c r="B5" s="16"/>
      <c r="C5" s="17">
        <v>-9.5</v>
      </c>
      <c r="D5" s="16" t="s">
        <v>33</v>
      </c>
    </row>
    <row r="6" spans="1:6">
      <c r="A6" s="5" t="s">
        <v>1</v>
      </c>
      <c r="D6" s="14"/>
    </row>
    <row r="7" spans="1:6">
      <c r="A7" t="s">
        <v>2</v>
      </c>
      <c r="C7">
        <v>52856.438000000002</v>
      </c>
    </row>
    <row r="8" spans="1:6">
      <c r="A8" t="s">
        <v>3</v>
      </c>
      <c r="C8" s="14">
        <v>1.615937</v>
      </c>
      <c r="D8" t="s">
        <v>26</v>
      </c>
    </row>
    <row r="9" spans="1:6">
      <c r="A9" s="30" t="s">
        <v>37</v>
      </c>
      <c r="B9" s="31">
        <v>29</v>
      </c>
      <c r="C9" s="19" t="str">
        <f>"F"&amp;B9</f>
        <v>F29</v>
      </c>
      <c r="D9" s="20" t="str">
        <f>"G"&amp;B9</f>
        <v>G29</v>
      </c>
    </row>
    <row r="10" spans="1:6" ht="13.5" thickBot="1">
      <c r="A10" s="16"/>
      <c r="B10" s="16"/>
      <c r="C10" s="4" t="s">
        <v>19</v>
      </c>
      <c r="D10" s="4" t="s">
        <v>20</v>
      </c>
      <c r="E10" s="16"/>
    </row>
    <row r="11" spans="1:6">
      <c r="A11" s="16" t="s">
        <v>15</v>
      </c>
      <c r="B11" s="16"/>
      <c r="C11" s="18">
        <f ca="1">INTERCEPT(INDIRECT($D$9):G992,INDIRECT($C$9):F992)</f>
        <v>1.4359223455388391E-2</v>
      </c>
      <c r="D11" s="3"/>
      <c r="E11" s="16"/>
    </row>
    <row r="12" spans="1:6">
      <c r="A12" s="16" t="s">
        <v>16</v>
      </c>
      <c r="B12" s="16"/>
      <c r="C12" s="18">
        <f ca="1">SLOPE(INDIRECT($D$9):G992,INDIRECT($C$9):F992)</f>
        <v>-4.6188693018339437E-5</v>
      </c>
      <c r="D12" s="3"/>
      <c r="E12" s="16"/>
    </row>
    <row r="13" spans="1:6">
      <c r="A13" s="16" t="s">
        <v>18</v>
      </c>
      <c r="B13" s="16"/>
      <c r="C13" s="3" t="s">
        <v>13</v>
      </c>
    </row>
    <row r="14" spans="1:6">
      <c r="A14" s="16"/>
      <c r="B14" s="16"/>
      <c r="C14" s="16"/>
    </row>
    <row r="15" spans="1:6">
      <c r="A15" s="21" t="s">
        <v>17</v>
      </c>
      <c r="B15" s="16"/>
      <c r="C15" s="22">
        <f ca="1">(C7+C11)+(C8+C12)*INT(MAX(F21:F3533))</f>
        <v>57214.509877318385</v>
      </c>
      <c r="E15" s="23" t="s">
        <v>38</v>
      </c>
      <c r="F15" s="17">
        <v>1</v>
      </c>
    </row>
    <row r="16" spans="1:6">
      <c r="A16" s="25" t="s">
        <v>4</v>
      </c>
      <c r="B16" s="16"/>
      <c r="C16" s="26">
        <f ca="1">+C8+C12</f>
        <v>1.6158908113069816</v>
      </c>
      <c r="E16" s="23" t="s">
        <v>34</v>
      </c>
      <c r="F16" s="24">
        <f ca="1">NOW()+15018.5+$C$5/24</f>
        <v>60320.746280787032</v>
      </c>
    </row>
    <row r="17" spans="1:21" ht="13.5" thickBot="1">
      <c r="A17" s="23" t="s">
        <v>25</v>
      </c>
      <c r="B17" s="16"/>
      <c r="C17" s="16">
        <f>COUNT(C21:C2191)</f>
        <v>14</v>
      </c>
      <c r="E17" s="23" t="s">
        <v>39</v>
      </c>
      <c r="F17" s="24">
        <f ca="1">ROUND(2*(F16-$C$7)/$C$8,0)/2+F15</f>
        <v>4620</v>
      </c>
    </row>
    <row r="18" spans="1:21" ht="14.25" thickTop="1" thickBot="1">
      <c r="A18" s="25" t="s">
        <v>5</v>
      </c>
      <c r="B18" s="16"/>
      <c r="C18" s="28">
        <f ca="1">+C15</f>
        <v>57214.509877318385</v>
      </c>
      <c r="D18" s="29">
        <f ca="1">+C16</f>
        <v>1.6158908113069816</v>
      </c>
      <c r="E18" s="23" t="s">
        <v>35</v>
      </c>
      <c r="F18" s="20">
        <f ca="1">ROUND(2*(F16-$C$15)/$C$16,0)/2+F15</f>
        <v>1923.5</v>
      </c>
    </row>
    <row r="19" spans="1:21" ht="13.5" thickTop="1">
      <c r="E19" s="23" t="s">
        <v>36</v>
      </c>
      <c r="F19" s="27">
        <f ca="1">+$C$15+$C$16*F18-15018.5-$C$5/24</f>
        <v>45304.571686200703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49</v>
      </c>
      <c r="I20" s="7" t="s">
        <v>52</v>
      </c>
      <c r="J20" s="7" t="s">
        <v>46</v>
      </c>
      <c r="K20" s="7" t="s">
        <v>44</v>
      </c>
      <c r="L20" s="7" t="s">
        <v>119</v>
      </c>
      <c r="M20" s="7" t="s">
        <v>120</v>
      </c>
      <c r="N20" s="7" t="s">
        <v>121</v>
      </c>
      <c r="O20" s="7" t="s">
        <v>22</v>
      </c>
      <c r="P20" s="6" t="s">
        <v>21</v>
      </c>
      <c r="Q20" s="4" t="s">
        <v>14</v>
      </c>
      <c r="U20" s="51" t="s">
        <v>123</v>
      </c>
    </row>
    <row r="21" spans="1:21">
      <c r="A21" s="20" t="s">
        <v>122</v>
      </c>
      <c r="B21" s="3" t="s">
        <v>31</v>
      </c>
      <c r="C21" s="13">
        <v>50702.415000000001</v>
      </c>
      <c r="D21" s="13" t="s">
        <v>52</v>
      </c>
      <c r="E21">
        <f t="shared" ref="E21:E34" si="0">+(C21-C$7)/C$8</f>
        <v>-1332.9869914483058</v>
      </c>
      <c r="F21">
        <f t="shared" ref="F21:F34" si="1">ROUND(2*E21,0)/2</f>
        <v>-1333</v>
      </c>
      <c r="G21">
        <f>+C21-(C$7+F21*C$8)</f>
        <v>2.1021000000473578E-2</v>
      </c>
      <c r="K21">
        <f>+G21</f>
        <v>2.1021000000473578E-2</v>
      </c>
      <c r="O21">
        <f t="shared" ref="O21:O34" ca="1" si="2">+C$11+C$12*$F21</f>
        <v>7.5928751248834858E-2</v>
      </c>
      <c r="Q21" s="2">
        <f t="shared" ref="Q21:Q34" si="3">+C21-15018.5</f>
        <v>35683.915000000001</v>
      </c>
    </row>
    <row r="22" spans="1:21">
      <c r="A22" s="20" t="s">
        <v>122</v>
      </c>
      <c r="B22" s="3" t="s">
        <v>31</v>
      </c>
      <c r="C22" s="13">
        <v>50715.360000000001</v>
      </c>
      <c r="D22" s="13" t="s">
        <v>52</v>
      </c>
      <c r="E22">
        <f t="shared" si="0"/>
        <v>-1324.9761593428466</v>
      </c>
      <c r="F22">
        <f t="shared" si="1"/>
        <v>-1325</v>
      </c>
      <c r="G22">
        <f>+C22-(C$7+F22*C$8)</f>
        <v>3.8524999996297993E-2</v>
      </c>
      <c r="K22">
        <f>+G22</f>
        <v>3.8524999996297993E-2</v>
      </c>
      <c r="O22">
        <f t="shared" ca="1" si="2"/>
        <v>7.555924170468814E-2</v>
      </c>
      <c r="Q22" s="2">
        <f t="shared" si="3"/>
        <v>35696.86</v>
      </c>
    </row>
    <row r="23" spans="1:21">
      <c r="A23" s="20" t="s">
        <v>122</v>
      </c>
      <c r="B23" s="3" t="s">
        <v>31</v>
      </c>
      <c r="C23" s="13">
        <v>50728.28</v>
      </c>
      <c r="D23" s="13" t="s">
        <v>52</v>
      </c>
      <c r="E23">
        <f t="shared" si="0"/>
        <v>-1316.9807981375532</v>
      </c>
      <c r="F23">
        <f t="shared" si="1"/>
        <v>-1317</v>
      </c>
      <c r="G23">
        <f>+C23-(C$7+F23*C$8)</f>
        <v>3.1028999997943174E-2</v>
      </c>
      <c r="K23">
        <f>+G23</f>
        <v>3.1028999997943174E-2</v>
      </c>
      <c r="O23">
        <f t="shared" ca="1" si="2"/>
        <v>7.5189732160541423E-2</v>
      </c>
      <c r="Q23" s="2">
        <f t="shared" si="3"/>
        <v>35709.78</v>
      </c>
    </row>
    <row r="24" spans="1:21">
      <c r="A24" s="20" t="s">
        <v>122</v>
      </c>
      <c r="B24" s="3" t="s">
        <v>31</v>
      </c>
      <c r="C24" s="13">
        <v>50741.235000000001</v>
      </c>
      <c r="D24" s="13" t="s">
        <v>52</v>
      </c>
      <c r="E24">
        <f t="shared" si="0"/>
        <v>-1308.9637776720265</v>
      </c>
      <c r="F24">
        <f t="shared" si="1"/>
        <v>-1309</v>
      </c>
      <c r="G24">
        <f>+C24-(C$7+F24*C$8)</f>
        <v>5.8532999995804857E-2</v>
      </c>
      <c r="K24">
        <f>+G24</f>
        <v>5.8532999995804857E-2</v>
      </c>
      <c r="O24">
        <f t="shared" ca="1" si="2"/>
        <v>7.4820222616394705E-2</v>
      </c>
      <c r="Q24" s="2">
        <f t="shared" si="3"/>
        <v>35722.735000000001</v>
      </c>
    </row>
    <row r="25" spans="1:21">
      <c r="A25" s="20" t="s">
        <v>122</v>
      </c>
      <c r="B25" s="3" t="s">
        <v>31</v>
      </c>
      <c r="C25" s="13">
        <v>50744.37</v>
      </c>
      <c r="D25" s="13" t="s">
        <v>52</v>
      </c>
      <c r="E25">
        <f t="shared" si="0"/>
        <v>-1307.0237267913287</v>
      </c>
      <c r="F25">
        <f t="shared" si="1"/>
        <v>-1307</v>
      </c>
      <c r="O25">
        <f t="shared" ca="1" si="2"/>
        <v>7.4727845230358025E-2</v>
      </c>
      <c r="Q25" s="2">
        <f t="shared" si="3"/>
        <v>35725.870000000003</v>
      </c>
      <c r="U25" s="50">
        <f>+C25-(C$7+F25*C$8)</f>
        <v>-3.8340999999491032E-2</v>
      </c>
    </row>
    <row r="26" spans="1:21">
      <c r="A26" s="20" t="s">
        <v>78</v>
      </c>
      <c r="B26" s="3" t="s">
        <v>31</v>
      </c>
      <c r="C26" s="13">
        <v>50749.294699999999</v>
      </c>
      <c r="D26" s="13" t="s">
        <v>52</v>
      </c>
      <c r="E26">
        <f t="shared" si="0"/>
        <v>-1303.9761451096197</v>
      </c>
      <c r="F26">
        <f t="shared" si="1"/>
        <v>-1304</v>
      </c>
      <c r="G26">
        <f t="shared" ref="G26:G34" si="4">+C26-(C$7+F26*C$8)</f>
        <v>3.8547999996808358E-2</v>
      </c>
      <c r="J26">
        <f>+G26</f>
        <v>3.8547999996808358E-2</v>
      </c>
      <c r="O26">
        <f t="shared" ca="1" si="2"/>
        <v>7.458927915130302E-2</v>
      </c>
      <c r="Q26" s="2">
        <f t="shared" si="3"/>
        <v>35730.794699999999</v>
      </c>
    </row>
    <row r="27" spans="1:21">
      <c r="A27" s="20" t="s">
        <v>122</v>
      </c>
      <c r="B27" s="3" t="s">
        <v>31</v>
      </c>
      <c r="C27" s="13">
        <v>50758.98</v>
      </c>
      <c r="D27" s="13" t="s">
        <v>52</v>
      </c>
      <c r="E27">
        <f t="shared" si="0"/>
        <v>-1297.9825327348769</v>
      </c>
      <c r="F27">
        <f t="shared" si="1"/>
        <v>-1298</v>
      </c>
      <c r="G27">
        <f t="shared" si="4"/>
        <v>2.8226000002177898E-2</v>
      </c>
      <c r="K27">
        <f>+G27</f>
        <v>2.8226000002177898E-2</v>
      </c>
      <c r="O27">
        <f t="shared" ca="1" si="2"/>
        <v>7.4312146993192982E-2</v>
      </c>
      <c r="Q27" s="2">
        <f t="shared" si="3"/>
        <v>35740.480000000003</v>
      </c>
    </row>
    <row r="28" spans="1:21">
      <c r="A28" s="13" t="s">
        <v>30</v>
      </c>
      <c r="B28" s="11" t="s">
        <v>31</v>
      </c>
      <c r="C28" s="13">
        <v>51043.387699999999</v>
      </c>
      <c r="D28" s="13">
        <v>4.0000000000000002E-4</v>
      </c>
      <c r="E28">
        <f t="shared" si="0"/>
        <v>-1121.9808074200928</v>
      </c>
      <c r="F28">
        <f t="shared" si="1"/>
        <v>-1122</v>
      </c>
      <c r="G28">
        <f t="shared" si="4"/>
        <v>3.1014000000141095E-2</v>
      </c>
      <c r="J28">
        <f>+G28</f>
        <v>3.1014000000141095E-2</v>
      </c>
      <c r="O28">
        <f t="shared" ca="1" si="2"/>
        <v>6.6182937021965232E-2</v>
      </c>
      <c r="Q28" s="2">
        <f t="shared" si="3"/>
        <v>36024.887699999999</v>
      </c>
    </row>
    <row r="29" spans="1:21">
      <c r="A29" s="20" t="s">
        <v>93</v>
      </c>
      <c r="B29" s="3" t="s">
        <v>31</v>
      </c>
      <c r="C29" s="13">
        <v>52150.313999999998</v>
      </c>
      <c r="D29" s="13" t="s">
        <v>52</v>
      </c>
      <c r="E29">
        <f t="shared" si="0"/>
        <v>-436.97495632565096</v>
      </c>
      <c r="F29">
        <f t="shared" si="1"/>
        <v>-437</v>
      </c>
      <c r="G29">
        <f t="shared" si="4"/>
        <v>4.0468999999575317E-2</v>
      </c>
      <c r="I29">
        <f>+G29</f>
        <v>4.0468999999575317E-2</v>
      </c>
      <c r="O29">
        <f t="shared" ca="1" si="2"/>
        <v>3.4543682304402724E-2</v>
      </c>
      <c r="Q29" s="2">
        <f t="shared" si="3"/>
        <v>37131.813999999998</v>
      </c>
    </row>
    <row r="30" spans="1:21">
      <c r="A30" s="10" t="s">
        <v>27</v>
      </c>
      <c r="B30" s="11"/>
      <c r="C30" s="12">
        <v>52856.438000000002</v>
      </c>
      <c r="D30" s="13">
        <v>1E-3</v>
      </c>
      <c r="E30">
        <f t="shared" si="0"/>
        <v>0</v>
      </c>
      <c r="F30">
        <f t="shared" si="1"/>
        <v>0</v>
      </c>
      <c r="G30">
        <f t="shared" si="4"/>
        <v>0</v>
      </c>
      <c r="J30">
        <f>+G30</f>
        <v>0</v>
      </c>
      <c r="O30">
        <f t="shared" ca="1" si="2"/>
        <v>1.4359223455388391E-2</v>
      </c>
      <c r="Q30" s="2">
        <f t="shared" si="3"/>
        <v>37837.938000000002</v>
      </c>
    </row>
    <row r="31" spans="1:21">
      <c r="A31" s="32" t="s">
        <v>40</v>
      </c>
      <c r="B31" s="33" t="s">
        <v>31</v>
      </c>
      <c r="C31" s="32">
        <v>55755.373099999997</v>
      </c>
      <c r="D31" s="32">
        <v>1.5E-3</v>
      </c>
      <c r="E31">
        <f t="shared" si="0"/>
        <v>1793.9654206816201</v>
      </c>
      <c r="F31">
        <f t="shared" si="1"/>
        <v>1794</v>
      </c>
      <c r="G31">
        <f t="shared" si="4"/>
        <v>-5.5878000006487127E-2</v>
      </c>
      <c r="K31">
        <f>+G31</f>
        <v>-5.5878000006487127E-2</v>
      </c>
      <c r="O31">
        <f t="shared" ca="1" si="2"/>
        <v>-6.8503291819512563E-2</v>
      </c>
      <c r="Q31" s="2">
        <f t="shared" si="3"/>
        <v>40736.873099999997</v>
      </c>
    </row>
    <row r="32" spans="1:21">
      <c r="A32" s="20" t="s">
        <v>112</v>
      </c>
      <c r="B32" s="3" t="s">
        <v>31</v>
      </c>
      <c r="C32" s="13">
        <v>55760.220200000003</v>
      </c>
      <c r="D32" s="13" t="s">
        <v>52</v>
      </c>
      <c r="E32">
        <f t="shared" si="0"/>
        <v>1796.9649806892235</v>
      </c>
      <c r="F32">
        <f t="shared" si="1"/>
        <v>1797</v>
      </c>
      <c r="G32">
        <f t="shared" si="4"/>
        <v>-5.6588999999803491E-2</v>
      </c>
      <c r="K32">
        <f>+G32</f>
        <v>-5.6588999999803491E-2</v>
      </c>
      <c r="O32">
        <f t="shared" ca="1" si="2"/>
        <v>-6.8641857898567582E-2</v>
      </c>
      <c r="Q32" s="2">
        <f t="shared" si="3"/>
        <v>40741.720200000003</v>
      </c>
    </row>
    <row r="33" spans="1:17">
      <c r="A33" s="34" t="s">
        <v>41</v>
      </c>
      <c r="B33" s="35" t="s">
        <v>31</v>
      </c>
      <c r="C33" s="36">
        <v>56815.376380000002</v>
      </c>
      <c r="D33" s="34">
        <v>1.5E-3</v>
      </c>
      <c r="E33">
        <f t="shared" si="0"/>
        <v>2449.9336174615714</v>
      </c>
      <c r="F33">
        <f t="shared" si="1"/>
        <v>2450</v>
      </c>
      <c r="G33">
        <f t="shared" si="4"/>
        <v>-0.10727000000042608</v>
      </c>
      <c r="K33">
        <f>+G33</f>
        <v>-0.10727000000042608</v>
      </c>
      <c r="O33">
        <f t="shared" ca="1" si="2"/>
        <v>-9.8803074439543226E-2</v>
      </c>
      <c r="Q33" s="2">
        <f t="shared" si="3"/>
        <v>41796.876380000002</v>
      </c>
    </row>
    <row r="34" spans="1:17">
      <c r="A34" s="52" t="s">
        <v>124</v>
      </c>
      <c r="B34" s="53"/>
      <c r="C34" s="52">
        <v>57214.502099999998</v>
      </c>
      <c r="D34" s="52">
        <v>3.3E-3</v>
      </c>
      <c r="E34">
        <f t="shared" si="0"/>
        <v>2696.9269841584146</v>
      </c>
      <c r="F34">
        <f t="shared" si="1"/>
        <v>2697</v>
      </c>
      <c r="G34">
        <f t="shared" si="4"/>
        <v>-0.11798900000576396</v>
      </c>
      <c r="K34">
        <f>+G34</f>
        <v>-0.11798900000576396</v>
      </c>
      <c r="O34">
        <f t="shared" ca="1" si="2"/>
        <v>-0.11021168161507308</v>
      </c>
      <c r="Q34" s="2">
        <f t="shared" si="3"/>
        <v>42196.002099999998</v>
      </c>
    </row>
    <row r="35" spans="1:17">
      <c r="B35" s="3"/>
      <c r="C35" s="13"/>
      <c r="D35" s="13"/>
    </row>
    <row r="36" spans="1:17">
      <c r="C36" s="13"/>
      <c r="D36" s="13"/>
    </row>
    <row r="37" spans="1:17">
      <c r="D37" s="3"/>
    </row>
    <row r="38" spans="1:17">
      <c r="D38" s="3"/>
    </row>
    <row r="39" spans="1:17">
      <c r="D39" s="3"/>
    </row>
    <row r="40" spans="1:17">
      <c r="D40" s="3"/>
    </row>
    <row r="41" spans="1:17">
      <c r="D41" s="3"/>
    </row>
    <row r="42" spans="1:17">
      <c r="D42" s="3"/>
    </row>
    <row r="43" spans="1:17">
      <c r="D43" s="3"/>
    </row>
    <row r="44" spans="1:17">
      <c r="D44" s="3"/>
    </row>
    <row r="45" spans="1:17">
      <c r="D45" s="3"/>
    </row>
    <row r="46" spans="1:17">
      <c r="D46" s="3"/>
    </row>
    <row r="47" spans="1:17">
      <c r="D47" s="3"/>
    </row>
    <row r="48" spans="1:17">
      <c r="D48" s="3"/>
    </row>
    <row r="49" spans="4:4">
      <c r="D49" s="3"/>
    </row>
    <row r="50" spans="4:4">
      <c r="D50" s="3"/>
    </row>
    <row r="51" spans="4:4">
      <c r="D51" s="3"/>
    </row>
  </sheetData>
  <phoneticPr fontId="7" type="noConversion"/>
  <pageMargins left="0.75" right="0.75" top="1" bottom="1" header="0.5" footer="0.5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1"/>
  <sheetViews>
    <sheetView workbookViewId="0">
      <selection activeCell="A14" sqref="A14:D23"/>
    </sheetView>
  </sheetViews>
  <sheetFormatPr defaultRowHeight="12.75"/>
  <cols>
    <col min="1" max="1" width="19.7109375" style="13" customWidth="1"/>
    <col min="2" max="2" width="4.42578125" style="16" customWidth="1"/>
    <col min="3" max="3" width="12.7109375" style="13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3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37" t="s">
        <v>42</v>
      </c>
      <c r="I1" s="38" t="s">
        <v>43</v>
      </c>
      <c r="J1" s="39" t="s">
        <v>44</v>
      </c>
    </row>
    <row r="2" spans="1:16">
      <c r="I2" s="40" t="s">
        <v>45</v>
      </c>
      <c r="J2" s="41" t="s">
        <v>46</v>
      </c>
    </row>
    <row r="3" spans="1:16">
      <c r="A3" s="42" t="s">
        <v>47</v>
      </c>
      <c r="I3" s="40" t="s">
        <v>48</v>
      </c>
      <c r="J3" s="41" t="s">
        <v>49</v>
      </c>
    </row>
    <row r="4" spans="1:16">
      <c r="I4" s="40" t="s">
        <v>50</v>
      </c>
      <c r="J4" s="41" t="s">
        <v>49</v>
      </c>
    </row>
    <row r="5" spans="1:16" ht="13.5" thickBot="1">
      <c r="I5" s="43" t="s">
        <v>51</v>
      </c>
      <c r="J5" s="44" t="s">
        <v>52</v>
      </c>
    </row>
    <row r="10" spans="1:16" ht="13.5" thickBot="1"/>
    <row r="11" spans="1:16" ht="12.75" customHeight="1" thickBot="1">
      <c r="A11" s="13" t="str">
        <f t="shared" ref="A11:A23" si="0">P11</f>
        <v>BAVM 117 </v>
      </c>
      <c r="B11" s="3" t="str">
        <f t="shared" ref="B11:B23" si="1">IF(H11=INT(H11),"I","II")</f>
        <v>I</v>
      </c>
      <c r="C11" s="13">
        <f t="shared" ref="C11:C23" si="2">1*G11</f>
        <v>51043.387699999999</v>
      </c>
      <c r="D11" s="16" t="str">
        <f t="shared" ref="D11:D23" si="3">VLOOKUP(F11,I$1:J$5,2,FALSE)</f>
        <v>vis</v>
      </c>
      <c r="E11" s="45">
        <f>VLOOKUP(C11,Active!C$21:E$973,3,FALSE)</f>
        <v>-1121.9808074200928</v>
      </c>
      <c r="F11" s="3" t="s">
        <v>51</v>
      </c>
      <c r="G11" s="16" t="str">
        <f t="shared" ref="G11:G23" si="4">MID(I11,3,LEN(I11)-3)</f>
        <v>51043.3877</v>
      </c>
      <c r="H11" s="13">
        <f t="shared" ref="H11:H23" si="5">1*K11</f>
        <v>-2919</v>
      </c>
      <c r="I11" s="46" t="s">
        <v>83</v>
      </c>
      <c r="J11" s="47" t="s">
        <v>84</v>
      </c>
      <c r="K11" s="46" t="s">
        <v>85</v>
      </c>
      <c r="L11" s="46" t="s">
        <v>86</v>
      </c>
      <c r="M11" s="47" t="s">
        <v>62</v>
      </c>
      <c r="N11" s="47" t="s">
        <v>77</v>
      </c>
      <c r="O11" s="48" t="s">
        <v>70</v>
      </c>
      <c r="P11" s="49" t="s">
        <v>87</v>
      </c>
    </row>
    <row r="12" spans="1:16" ht="12.75" customHeight="1" thickBot="1">
      <c r="A12" s="13" t="str">
        <f t="shared" si="0"/>
        <v>BAVM 172 </v>
      </c>
      <c r="B12" s="3" t="str">
        <f t="shared" si="1"/>
        <v>I</v>
      </c>
      <c r="C12" s="13">
        <f t="shared" si="2"/>
        <v>52856.438000000002</v>
      </c>
      <c r="D12" s="16" t="str">
        <f t="shared" si="3"/>
        <v>vis</v>
      </c>
      <c r="E12" s="45">
        <f>VLOOKUP(C12,Active!C$21:E$973,3,FALSE)</f>
        <v>0</v>
      </c>
      <c r="F12" s="3" t="s">
        <v>51</v>
      </c>
      <c r="G12" s="16" t="str">
        <f t="shared" si="4"/>
        <v>52856.4380</v>
      </c>
      <c r="H12" s="13">
        <f t="shared" si="5"/>
        <v>-1797</v>
      </c>
      <c r="I12" s="46" t="s">
        <v>94</v>
      </c>
      <c r="J12" s="47" t="s">
        <v>95</v>
      </c>
      <c r="K12" s="46" t="s">
        <v>96</v>
      </c>
      <c r="L12" s="46" t="s">
        <v>97</v>
      </c>
      <c r="M12" s="47" t="s">
        <v>62</v>
      </c>
      <c r="N12" s="47" t="s">
        <v>51</v>
      </c>
      <c r="O12" s="48" t="s">
        <v>70</v>
      </c>
      <c r="P12" s="49" t="s">
        <v>98</v>
      </c>
    </row>
    <row r="13" spans="1:16" ht="12.75" customHeight="1" thickBot="1">
      <c r="A13" s="13" t="str">
        <f t="shared" si="0"/>
        <v>IBVS 5997 </v>
      </c>
      <c r="B13" s="3" t="str">
        <f t="shared" si="1"/>
        <v>I</v>
      </c>
      <c r="C13" s="13">
        <f t="shared" si="2"/>
        <v>55755.373099999997</v>
      </c>
      <c r="D13" s="16" t="str">
        <f t="shared" si="3"/>
        <v>vis</v>
      </c>
      <c r="E13" s="45">
        <f>VLOOKUP(C13,Active!C$21:E$973,3,FALSE)</f>
        <v>1793.9654206816201</v>
      </c>
      <c r="F13" s="3" t="s">
        <v>51</v>
      </c>
      <c r="G13" s="16" t="str">
        <f t="shared" si="4"/>
        <v>55755.3731</v>
      </c>
      <c r="H13" s="13">
        <f t="shared" si="5"/>
        <v>-3</v>
      </c>
      <c r="I13" s="46" t="s">
        <v>99</v>
      </c>
      <c r="J13" s="47" t="s">
        <v>100</v>
      </c>
      <c r="K13" s="46" t="s">
        <v>101</v>
      </c>
      <c r="L13" s="46" t="s">
        <v>102</v>
      </c>
      <c r="M13" s="47" t="s">
        <v>103</v>
      </c>
      <c r="N13" s="47" t="s">
        <v>104</v>
      </c>
      <c r="O13" s="48" t="s">
        <v>105</v>
      </c>
      <c r="P13" s="49" t="s">
        <v>106</v>
      </c>
    </row>
    <row r="14" spans="1:16" ht="12.75" customHeight="1" thickBot="1">
      <c r="A14" s="13" t="str">
        <f t="shared" si="0"/>
        <v>IBVS 4540 </v>
      </c>
      <c r="B14" s="3" t="str">
        <f t="shared" si="1"/>
        <v>I</v>
      </c>
      <c r="C14" s="13">
        <f t="shared" si="2"/>
        <v>50702.415000000001</v>
      </c>
      <c r="D14" s="16" t="str">
        <f t="shared" si="3"/>
        <v>vis</v>
      </c>
      <c r="E14" s="45">
        <f>VLOOKUP(C14,Active!C$21:E$973,3,FALSE)</f>
        <v>-1332.9869914483058</v>
      </c>
      <c r="F14" s="3" t="s">
        <v>51</v>
      </c>
      <c r="G14" s="16" t="str">
        <f t="shared" si="4"/>
        <v>50702.415</v>
      </c>
      <c r="H14" s="13">
        <f t="shared" si="5"/>
        <v>-3130</v>
      </c>
      <c r="I14" s="46" t="s">
        <v>54</v>
      </c>
      <c r="J14" s="47" t="s">
        <v>55</v>
      </c>
      <c r="K14" s="46">
        <v>-3130</v>
      </c>
      <c r="L14" s="46" t="s">
        <v>56</v>
      </c>
      <c r="M14" s="47" t="s">
        <v>53</v>
      </c>
      <c r="N14" s="47"/>
      <c r="O14" s="48" t="s">
        <v>57</v>
      </c>
      <c r="P14" s="49" t="s">
        <v>58</v>
      </c>
    </row>
    <row r="15" spans="1:16" ht="12.75" customHeight="1" thickBot="1">
      <c r="A15" s="13" t="str">
        <f t="shared" si="0"/>
        <v>IBVS 4540 </v>
      </c>
      <c r="B15" s="3" t="str">
        <f t="shared" si="1"/>
        <v>I</v>
      </c>
      <c r="C15" s="13">
        <f t="shared" si="2"/>
        <v>50715.360000000001</v>
      </c>
      <c r="D15" s="16" t="str">
        <f t="shared" si="3"/>
        <v>vis</v>
      </c>
      <c r="E15" s="45">
        <f>VLOOKUP(C15,Active!C$21:E$973,3,FALSE)</f>
        <v>-1324.9761593428466</v>
      </c>
      <c r="F15" s="3" t="s">
        <v>51</v>
      </c>
      <c r="G15" s="16" t="str">
        <f t="shared" si="4"/>
        <v>50715.36</v>
      </c>
      <c r="H15" s="13">
        <f t="shared" si="5"/>
        <v>-3122</v>
      </c>
      <c r="I15" s="46" t="s">
        <v>59</v>
      </c>
      <c r="J15" s="47" t="s">
        <v>60</v>
      </c>
      <c r="K15" s="46">
        <v>-3122</v>
      </c>
      <c r="L15" s="46" t="s">
        <v>61</v>
      </c>
      <c r="M15" s="47" t="s">
        <v>62</v>
      </c>
      <c r="N15" s="47" t="s">
        <v>63</v>
      </c>
      <c r="O15" s="48" t="s">
        <v>57</v>
      </c>
      <c r="P15" s="49" t="s">
        <v>58</v>
      </c>
    </row>
    <row r="16" spans="1:16" ht="12.75" customHeight="1" thickBot="1">
      <c r="A16" s="13" t="str">
        <f t="shared" si="0"/>
        <v>IBVS 4540 </v>
      </c>
      <c r="B16" s="3" t="str">
        <f t="shared" si="1"/>
        <v>I</v>
      </c>
      <c r="C16" s="13">
        <f t="shared" si="2"/>
        <v>50728.28</v>
      </c>
      <c r="D16" s="16" t="str">
        <f t="shared" si="3"/>
        <v>vis</v>
      </c>
      <c r="E16" s="45">
        <f>VLOOKUP(C16,Active!C$21:E$973,3,FALSE)</f>
        <v>-1316.9807981375532</v>
      </c>
      <c r="F16" s="3" t="s">
        <v>51</v>
      </c>
      <c r="G16" s="16" t="str">
        <f t="shared" si="4"/>
        <v>50728.28</v>
      </c>
      <c r="H16" s="13">
        <f t="shared" si="5"/>
        <v>-3114</v>
      </c>
      <c r="I16" s="46" t="s">
        <v>64</v>
      </c>
      <c r="J16" s="47" t="s">
        <v>65</v>
      </c>
      <c r="K16" s="46">
        <v>-3114</v>
      </c>
      <c r="L16" s="46" t="s">
        <v>66</v>
      </c>
      <c r="M16" s="47" t="s">
        <v>62</v>
      </c>
      <c r="N16" s="47" t="s">
        <v>63</v>
      </c>
      <c r="O16" s="48" t="s">
        <v>57</v>
      </c>
      <c r="P16" s="49" t="s">
        <v>58</v>
      </c>
    </row>
    <row r="17" spans="1:16" ht="12.75" customHeight="1" thickBot="1">
      <c r="A17" s="13" t="str">
        <f t="shared" si="0"/>
        <v>IBVS 4540 </v>
      </c>
      <c r="B17" s="3" t="str">
        <f t="shared" si="1"/>
        <v>I</v>
      </c>
      <c r="C17" s="13">
        <f t="shared" si="2"/>
        <v>50741.235000000001</v>
      </c>
      <c r="D17" s="16" t="str">
        <f t="shared" si="3"/>
        <v>vis</v>
      </c>
      <c r="E17" s="45">
        <f>VLOOKUP(C17,Active!C$21:E$973,3,FALSE)</f>
        <v>-1308.9637776720265</v>
      </c>
      <c r="F17" s="3" t="s">
        <v>51</v>
      </c>
      <c r="G17" s="16" t="str">
        <f t="shared" si="4"/>
        <v>50741.235</v>
      </c>
      <c r="H17" s="13">
        <f t="shared" si="5"/>
        <v>-3106</v>
      </c>
      <c r="I17" s="46" t="s">
        <v>67</v>
      </c>
      <c r="J17" s="47" t="s">
        <v>68</v>
      </c>
      <c r="K17" s="46">
        <v>-3106</v>
      </c>
      <c r="L17" s="46" t="s">
        <v>69</v>
      </c>
      <c r="M17" s="47" t="s">
        <v>62</v>
      </c>
      <c r="N17" s="47" t="s">
        <v>63</v>
      </c>
      <c r="O17" s="48" t="s">
        <v>70</v>
      </c>
      <c r="P17" s="49" t="s">
        <v>58</v>
      </c>
    </row>
    <row r="18" spans="1:16" ht="12.75" customHeight="1" thickBot="1">
      <c r="A18" s="13" t="str">
        <f t="shared" si="0"/>
        <v>IBVS 4540 </v>
      </c>
      <c r="B18" s="3" t="str">
        <f t="shared" si="1"/>
        <v>I</v>
      </c>
      <c r="C18" s="13">
        <f t="shared" si="2"/>
        <v>50744.37</v>
      </c>
      <c r="D18" s="16" t="str">
        <f t="shared" si="3"/>
        <v>vis</v>
      </c>
      <c r="E18" s="45">
        <f>VLOOKUP(C18,Active!C$21:E$973,3,FALSE)</f>
        <v>-1307.0237267913287</v>
      </c>
      <c r="F18" s="3" t="s">
        <v>51</v>
      </c>
      <c r="G18" s="16" t="str">
        <f t="shared" si="4"/>
        <v>50744.37</v>
      </c>
      <c r="H18" s="13">
        <f t="shared" si="5"/>
        <v>-3104</v>
      </c>
      <c r="I18" s="46" t="s">
        <v>71</v>
      </c>
      <c r="J18" s="47" t="s">
        <v>72</v>
      </c>
      <c r="K18" s="46">
        <v>-3104</v>
      </c>
      <c r="L18" s="46" t="s">
        <v>73</v>
      </c>
      <c r="M18" s="47" t="s">
        <v>62</v>
      </c>
      <c r="N18" s="47" t="s">
        <v>63</v>
      </c>
      <c r="O18" s="48" t="s">
        <v>70</v>
      </c>
      <c r="P18" s="49" t="s">
        <v>58</v>
      </c>
    </row>
    <row r="19" spans="1:16" ht="12.75" customHeight="1" thickBot="1">
      <c r="A19" s="13" t="str">
        <f t="shared" si="0"/>
        <v>BAVM 152 </v>
      </c>
      <c r="B19" s="3" t="str">
        <f t="shared" si="1"/>
        <v>I</v>
      </c>
      <c r="C19" s="13">
        <f t="shared" si="2"/>
        <v>50749.294699999999</v>
      </c>
      <c r="D19" s="16" t="str">
        <f t="shared" si="3"/>
        <v>vis</v>
      </c>
      <c r="E19" s="45">
        <f>VLOOKUP(C19,Active!C$21:E$973,3,FALSE)</f>
        <v>-1303.9761451096197</v>
      </c>
      <c r="F19" s="3" t="s">
        <v>51</v>
      </c>
      <c r="G19" s="16" t="str">
        <f t="shared" si="4"/>
        <v>50749.2947</v>
      </c>
      <c r="H19" s="13">
        <f t="shared" si="5"/>
        <v>-3101</v>
      </c>
      <c r="I19" s="46" t="s">
        <v>74</v>
      </c>
      <c r="J19" s="47" t="s">
        <v>75</v>
      </c>
      <c r="K19" s="46">
        <v>-3101</v>
      </c>
      <c r="L19" s="46" t="s">
        <v>76</v>
      </c>
      <c r="M19" s="47" t="s">
        <v>62</v>
      </c>
      <c r="N19" s="47" t="s">
        <v>77</v>
      </c>
      <c r="O19" s="48" t="s">
        <v>70</v>
      </c>
      <c r="P19" s="49" t="s">
        <v>78</v>
      </c>
    </row>
    <row r="20" spans="1:16" ht="12.75" customHeight="1" thickBot="1">
      <c r="A20" s="13" t="str">
        <f t="shared" si="0"/>
        <v>IBVS 4540 </v>
      </c>
      <c r="B20" s="3" t="str">
        <f t="shared" si="1"/>
        <v>I</v>
      </c>
      <c r="C20" s="13">
        <f t="shared" si="2"/>
        <v>50758.98</v>
      </c>
      <c r="D20" s="16" t="str">
        <f t="shared" si="3"/>
        <v>vis</v>
      </c>
      <c r="E20" s="45">
        <f>VLOOKUP(C20,Active!C$21:E$973,3,FALSE)</f>
        <v>-1297.9825327348769</v>
      </c>
      <c r="F20" s="3" t="s">
        <v>51</v>
      </c>
      <c r="G20" s="16" t="str">
        <f t="shared" si="4"/>
        <v>50758.98</v>
      </c>
      <c r="H20" s="13">
        <f t="shared" si="5"/>
        <v>-3095</v>
      </c>
      <c r="I20" s="46" t="s">
        <v>79</v>
      </c>
      <c r="J20" s="47" t="s">
        <v>80</v>
      </c>
      <c r="K20" s="46" t="s">
        <v>81</v>
      </c>
      <c r="L20" s="46" t="s">
        <v>66</v>
      </c>
      <c r="M20" s="47" t="s">
        <v>62</v>
      </c>
      <c r="N20" s="47" t="s">
        <v>63</v>
      </c>
      <c r="O20" s="48" t="s">
        <v>82</v>
      </c>
      <c r="P20" s="49" t="s">
        <v>58</v>
      </c>
    </row>
    <row r="21" spans="1:16" ht="12.75" customHeight="1" thickBot="1">
      <c r="A21" s="13" t="str">
        <f t="shared" si="0"/>
        <v> BBS 126 </v>
      </c>
      <c r="B21" s="3" t="str">
        <f t="shared" si="1"/>
        <v>I</v>
      </c>
      <c r="C21" s="13">
        <f t="shared" si="2"/>
        <v>52150.313999999998</v>
      </c>
      <c r="D21" s="16" t="str">
        <f t="shared" si="3"/>
        <v>vis</v>
      </c>
      <c r="E21" s="45">
        <f>VLOOKUP(C21,Active!C$21:E$973,3,FALSE)</f>
        <v>-436.97495632565096</v>
      </c>
      <c r="F21" s="3" t="s">
        <v>51</v>
      </c>
      <c r="G21" s="16" t="str">
        <f t="shared" si="4"/>
        <v>52150.314</v>
      </c>
      <c r="H21" s="13">
        <f t="shared" si="5"/>
        <v>-2234</v>
      </c>
      <c r="I21" s="46" t="s">
        <v>88</v>
      </c>
      <c r="J21" s="47" t="s">
        <v>89</v>
      </c>
      <c r="K21" s="46" t="s">
        <v>90</v>
      </c>
      <c r="L21" s="46" t="s">
        <v>91</v>
      </c>
      <c r="M21" s="47" t="s">
        <v>62</v>
      </c>
      <c r="N21" s="47" t="s">
        <v>63</v>
      </c>
      <c r="O21" s="48" t="s">
        <v>92</v>
      </c>
      <c r="P21" s="48" t="s">
        <v>93</v>
      </c>
    </row>
    <row r="22" spans="1:16" ht="12.75" customHeight="1" thickBot="1">
      <c r="A22" s="13" t="str">
        <f t="shared" si="0"/>
        <v>VSB 53 </v>
      </c>
      <c r="B22" s="3" t="str">
        <f t="shared" si="1"/>
        <v>I</v>
      </c>
      <c r="C22" s="13">
        <f t="shared" si="2"/>
        <v>55760.220200000003</v>
      </c>
      <c r="D22" s="16" t="str">
        <f t="shared" si="3"/>
        <v>vis</v>
      </c>
      <c r="E22" s="45">
        <f>VLOOKUP(C22,Active!C$21:E$973,3,FALSE)</f>
        <v>1796.9649806892235</v>
      </c>
      <c r="F22" s="3" t="s">
        <v>51</v>
      </c>
      <c r="G22" s="16" t="str">
        <f t="shared" si="4"/>
        <v>55760.2202</v>
      </c>
      <c r="H22" s="13">
        <f t="shared" si="5"/>
        <v>0</v>
      </c>
      <c r="I22" s="46" t="s">
        <v>107</v>
      </c>
      <c r="J22" s="47" t="s">
        <v>108</v>
      </c>
      <c r="K22" s="46" t="s">
        <v>109</v>
      </c>
      <c r="L22" s="46" t="s">
        <v>110</v>
      </c>
      <c r="M22" s="47" t="s">
        <v>103</v>
      </c>
      <c r="N22" s="47" t="s">
        <v>51</v>
      </c>
      <c r="O22" s="48" t="s">
        <v>111</v>
      </c>
      <c r="P22" s="49" t="s">
        <v>112</v>
      </c>
    </row>
    <row r="23" spans="1:16" ht="12.75" customHeight="1" thickBot="1">
      <c r="A23" s="13" t="str">
        <f t="shared" si="0"/>
        <v>BAVM 241 (=IBVS 6157) </v>
      </c>
      <c r="B23" s="3" t="str">
        <f t="shared" si="1"/>
        <v>I</v>
      </c>
      <c r="C23" s="13">
        <f t="shared" si="2"/>
        <v>57214.502099999998</v>
      </c>
      <c r="D23" s="16" t="str">
        <f t="shared" si="3"/>
        <v>vis</v>
      </c>
      <c r="E23" s="45">
        <f>VLOOKUP(C23,Active!C$21:E$973,3,FALSE)</f>
        <v>2696.9269841584146</v>
      </c>
      <c r="F23" s="3" t="s">
        <v>51</v>
      </c>
      <c r="G23" s="16" t="str">
        <f t="shared" si="4"/>
        <v>57214.5021</v>
      </c>
      <c r="H23" s="13">
        <f t="shared" si="5"/>
        <v>900</v>
      </c>
      <c r="I23" s="46" t="s">
        <v>113</v>
      </c>
      <c r="J23" s="47" t="s">
        <v>114</v>
      </c>
      <c r="K23" s="46" t="s">
        <v>115</v>
      </c>
      <c r="L23" s="46" t="s">
        <v>116</v>
      </c>
      <c r="M23" s="47" t="s">
        <v>103</v>
      </c>
      <c r="N23" s="47" t="s">
        <v>77</v>
      </c>
      <c r="O23" s="48" t="s">
        <v>117</v>
      </c>
      <c r="P23" s="49" t="s">
        <v>118</v>
      </c>
    </row>
    <row r="24" spans="1:16">
      <c r="B24" s="3"/>
      <c r="F24" s="3"/>
    </row>
    <row r="25" spans="1:16">
      <c r="B25" s="3"/>
      <c r="F25" s="3"/>
    </row>
    <row r="26" spans="1:16">
      <c r="B26" s="3"/>
      <c r="F26" s="3"/>
    </row>
    <row r="27" spans="1:16">
      <c r="B27" s="3"/>
      <c r="F27" s="3"/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</sheetData>
  <phoneticPr fontId="7" type="noConversion"/>
  <hyperlinks>
    <hyperlink ref="A3" r:id="rId1"/>
    <hyperlink ref="P14" r:id="rId2" display="http://www.konkoly.hu/cgi-bin/IBVS?4540"/>
    <hyperlink ref="P15" r:id="rId3" display="http://www.konkoly.hu/cgi-bin/IBVS?4540"/>
    <hyperlink ref="P16" r:id="rId4" display="http://www.konkoly.hu/cgi-bin/IBVS?4540"/>
    <hyperlink ref="P17" r:id="rId5" display="http://www.konkoly.hu/cgi-bin/IBVS?4540"/>
    <hyperlink ref="P18" r:id="rId6" display="http://www.konkoly.hu/cgi-bin/IBVS?4540"/>
    <hyperlink ref="P19" r:id="rId7" display="http://www.bav-astro.de/sfs/BAVM_link.php?BAVMnr=152"/>
    <hyperlink ref="P20" r:id="rId8" display="http://www.konkoly.hu/cgi-bin/IBVS?4540"/>
    <hyperlink ref="P11" r:id="rId9" display="http://www.bav-astro.de/sfs/BAVM_link.php?BAVMnr=117"/>
    <hyperlink ref="P12" r:id="rId10" display="http://www.bav-astro.de/sfs/BAVM_link.php?BAVMnr=172"/>
    <hyperlink ref="P13" r:id="rId11" display="http://www.konkoly.hu/cgi-bin/IBVS?5997"/>
    <hyperlink ref="P22" r:id="rId12" display="http://vsolj.cetus-net.org/vsoljno53.pdf"/>
    <hyperlink ref="P23" r:id="rId13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2024-01-11T04:54:38Z</dcterms:modified>
</cp:coreProperties>
</file>