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7743B39-333C-4047-A60F-423356CE6BF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C21" i="1"/>
  <c r="E21" i="1"/>
  <c r="F21" i="1"/>
  <c r="G21" i="1"/>
  <c r="H21" i="1"/>
  <c r="Q22" i="1"/>
  <c r="Q23" i="1"/>
  <c r="Q24" i="1"/>
  <c r="F1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C15" i="1"/>
  <c r="O24" i="1"/>
  <c r="S24" i="1" s="1"/>
  <c r="O23" i="1"/>
  <c r="S23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<sst xmlns="http://schemas.openxmlformats.org/spreadsheetml/2006/main" count="60" uniqueCount="55">
  <si>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</si>
  <si>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</si>
  <si>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</si>
  <si>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</si>
  <si>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</si>
  <si>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</si>
  <si>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</si>
  <si>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</si>
  <si>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</si>
  <si>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</si>
  <si>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</si>
  <si>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</si>
  <si>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</si>
  <si>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</si>
  <si>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</si>
  <si>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</si>
  <si>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</si>
  <si>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</si>
  <si>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</si>
  <si>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</si>
  <si>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</si>
  <si>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</si>
  <si>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</si>
  <si>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</si>
  <si>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</si>
  <si>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</si>
  <si>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</si>
  <si>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</si>
  <si>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</si>
  <si>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</si>
  <si>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</si>
  <si>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</si>
  <si>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</si>
  <si>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</si>
  <si>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</si>
  <si>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</si>
  <si>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</si>
  <si>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</si>
  <si>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</si>
  <si>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</si>
  <si>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G5220-0352</t>
  </si>
  <si>
    <t>OEJV 0155</t>
  </si>
  <si>
    <t>I</t>
  </si>
  <si>
    <t>0,0100</t>
  </si>
  <si>
    <t>IBVS 6011</t>
  </si>
  <si>
    <t>II</t>
  </si>
  <si>
    <t>IBVS 6042</t>
  </si>
  <si>
    <t>GSC 5220-0352</t>
  </si>
  <si>
    <t>G5220-0352_Aqr.xls</t>
  </si>
  <si>
    <t>EC</t>
  </si>
  <si>
    <t>Aqr</t>
  </si>
  <si>
    <t>VSX</t>
  </si>
  <si>
    <t>CCD</t>
  </si>
  <si>
    <t>S2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</si>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</sst>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5220-0352 -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1174</c:v>
                </c:pt>
                <c:pt idx="2">
                  <c:v>3772.5</c:v>
                </c:pt>
                <c:pt idx="3">
                  <c:v>5007.5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6F-43DC-9070-A36658D303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1174</c:v>
                </c:pt>
                <c:pt idx="2">
                  <c:v>3772.5</c:v>
                </c:pt>
                <c:pt idx="3">
                  <c:v>5007.5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6F-43DC-9070-A36658D303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1174</c:v>
                </c:pt>
                <c:pt idx="2">
                  <c:v>3772.5</c:v>
                </c:pt>
                <c:pt idx="3">
                  <c:v>5007.5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6F-43DC-9070-A36658D303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1174</c:v>
                </c:pt>
                <c:pt idx="2">
                  <c:v>3772.5</c:v>
                </c:pt>
                <c:pt idx="3">
                  <c:v>5007.5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-6.739999953424558E-4</c:v>
                </c:pt>
                <c:pt idx="2">
                  <c:v>3.8525000054505654E-3</c:v>
                </c:pt>
                <c:pt idx="3">
                  <c:v>5.1674999995157123E-3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6F-43DC-9070-A36658D303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1174</c:v>
                </c:pt>
                <c:pt idx="2">
                  <c:v>3772.5</c:v>
                </c:pt>
                <c:pt idx="3">
                  <c:v>5007.5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6F-43DC-9070-A36658D303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1174</c:v>
                </c:pt>
                <c:pt idx="2">
                  <c:v>3772.5</c:v>
                </c:pt>
                <c:pt idx="3">
                  <c:v>5007.5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6F-43DC-9070-A36658D303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1174</c:v>
                </c:pt>
                <c:pt idx="2">
                  <c:v>3772.5</c:v>
                </c:pt>
                <c:pt idx="3">
                  <c:v>5007.5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6F-43DC-9070-A36658D303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1174</c:v>
                </c:pt>
                <c:pt idx="2">
                  <c:v>3772.5</c:v>
                </c:pt>
                <c:pt idx="3">
                  <c:v>5007.5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-8.6092806312703133E-4</c:v>
                </c:pt>
                <c:pt idx="1">
                  <c:v>5.2958049581840823E-4</c:v>
                </c:pt>
                <c:pt idx="2">
                  <c:v>3.6072947125302692E-3</c:v>
                </c:pt>
                <c:pt idx="3">
                  <c:v>5.0700528644021751E-3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6F-43DC-9070-A36658D3030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1174</c:v>
                </c:pt>
                <c:pt idx="2">
                  <c:v>3772.5</c:v>
                </c:pt>
                <c:pt idx="3">
                  <c:v>5007.5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6F-43DC-9070-A36658D3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792936"/>
        <c:axId val="1"/>
      </c:scatterChart>
      <c:valAx>
        <c:axId val="575792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792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084016-2E32-8450-5C2F-0E10D8634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E1" t="s">
        <v>48</v>
      </c>
    </row>
    <row r="2" spans="1:7" x14ac:dyDescent="0.2">
      <c r="A2" t="s">
        <v>23</v>
      </c>
      <c r="B2" t="s">
        <v>49</v>
      </c>
      <c r="C2" s="31" t="s">
        <v>39</v>
      </c>
      <c r="D2" s="3" t="s">
        <v>50</v>
      </c>
      <c r="E2" s="32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38</v>
      </c>
      <c r="D4" s="29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54738.701999999997</v>
      </c>
      <c r="D7" s="30" t="s">
        <v>51</v>
      </c>
    </row>
    <row r="8" spans="1:7" x14ac:dyDescent="0.2">
      <c r="A8" t="s">
        <v>3</v>
      </c>
      <c r="C8" s="38">
        <v>0.29475099999999999</v>
      </c>
      <c r="D8" s="30" t="s">
        <v>51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-8.6092806312703133E-4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1.1844195561715839E-6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7" x14ac:dyDescent="0.2">
      <c r="A14" s="10"/>
      <c r="B14" s="10"/>
      <c r="C14" s="10"/>
      <c r="D14" s="14" t="s">
        <v>30</v>
      </c>
      <c r="E14" s="15">
        <f ca="1">NOW()+15018.5+$C$9/24</f>
        <v>60320.790676620367</v>
      </c>
    </row>
    <row r="15" spans="1:7" x14ac:dyDescent="0.2">
      <c r="A15" s="12" t="s">
        <v>17</v>
      </c>
      <c r="B15" s="10"/>
      <c r="C15" s="13">
        <f ca="1">(C7+C11)+(C8+C12)*INT(MAX(F21:F3533))</f>
        <v>56214.525326460651</v>
      </c>
      <c r="D15" s="14" t="s">
        <v>36</v>
      </c>
      <c r="E15" s="15">
        <f ca="1">ROUND(2*(E14-$C$7)/$C$8,0)/2+E13</f>
        <v>18939.5</v>
      </c>
    </row>
    <row r="16" spans="1:7" x14ac:dyDescent="0.2">
      <c r="A16" s="16" t="s">
        <v>4</v>
      </c>
      <c r="B16" s="10"/>
      <c r="C16" s="17">
        <f ca="1">+C8+C12</f>
        <v>0.29475218441955614</v>
      </c>
      <c r="D16" s="14" t="s">
        <v>37</v>
      </c>
      <c r="E16" s="24">
        <f ca="1">ROUND(2*(E14-$C$15)/$C$16,0)/2+E13</f>
        <v>13932</v>
      </c>
    </row>
    <row r="17" spans="1:19" ht="13.5" thickBot="1" x14ac:dyDescent="0.25">
      <c r="A17" s="14" t="s">
        <v>27</v>
      </c>
      <c r="B17" s="10"/>
      <c r="C17" s="10">
        <f>COUNT(C21:C2191)</f>
        <v>4</v>
      </c>
      <c r="D17" s="14" t="s">
        <v>31</v>
      </c>
      <c r="E17" s="18">
        <f ca="1">+$C$15+$C$16*E16-15018.5-$C$9/24</f>
        <v>45302.908593127242</v>
      </c>
    </row>
    <row r="18" spans="1:19" ht="14.25" thickTop="1" thickBot="1" x14ac:dyDescent="0.25">
      <c r="A18" s="16" t="s">
        <v>5</v>
      </c>
      <c r="B18" s="10"/>
      <c r="C18" s="19">
        <f ca="1">+C15</f>
        <v>56214.525326460651</v>
      </c>
      <c r="D18" s="20">
        <f ca="1">+C16</f>
        <v>0.29475218441955614</v>
      </c>
      <c r="E18" s="21" t="s">
        <v>32</v>
      </c>
    </row>
    <row r="19" spans="1:19" ht="13.5" thickTop="1" x14ac:dyDescent="0.2">
      <c r="A19" s="25" t="s">
        <v>33</v>
      </c>
      <c r="E19" s="26">
        <v>21</v>
      </c>
      <c r="S19">
        <f ca="1">SQRT(SUM(S21:S50)/(COUNT(S21:S50)-1))</f>
        <v>8.6783729435124194E-4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53</v>
      </c>
      <c r="J20" s="7" t="s">
        <v>54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34</v>
      </c>
    </row>
    <row r="21" spans="1:19" x14ac:dyDescent="0.2">
      <c r="A21" t="str">
        <f>D7</f>
        <v>VSX</v>
      </c>
      <c r="C21" s="8">
        <f>C$7</f>
        <v>54738.701999999997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-8.6092806312703133E-4</v>
      </c>
      <c r="Q21" s="2">
        <f>+C21-15018.5</f>
        <v>39720.201999999997</v>
      </c>
      <c r="S21">
        <f ca="1">+(O21-G21)^2</f>
        <v>7.4119712987966167E-7</v>
      </c>
    </row>
    <row r="22" spans="1:19" x14ac:dyDescent="0.2">
      <c r="A22" s="33" t="s">
        <v>41</v>
      </c>
      <c r="B22" s="34" t="s">
        <v>42</v>
      </c>
      <c r="C22" s="35">
        <v>55084.739000000001</v>
      </c>
      <c r="D22" s="33" t="s">
        <v>43</v>
      </c>
      <c r="E22">
        <f>+(C22-C$7)/C$8</f>
        <v>1173.9977133241412</v>
      </c>
      <c r="F22">
        <f>ROUND(2*E22,0)/2</f>
        <v>1174</v>
      </c>
      <c r="G22">
        <f>+C22-(C$7+F22*C$8)</f>
        <v>-6.739999953424558E-4</v>
      </c>
      <c r="K22">
        <f>+G22</f>
        <v>-6.739999953424558E-4</v>
      </c>
      <c r="O22">
        <f ca="1">+C$11+C$12*$F22</f>
        <v>5.2958049581840823E-4</v>
      </c>
      <c r="Q22" s="2">
        <f>+C22-15018.5</f>
        <v>40066.239000000001</v>
      </c>
      <c r="S22">
        <f ca="1">+(O22-G22)^2</f>
        <v>1.4486059987030267E-6</v>
      </c>
    </row>
    <row r="23" spans="1:19" x14ac:dyDescent="0.2">
      <c r="A23" s="36" t="s">
        <v>44</v>
      </c>
      <c r="B23" s="37" t="s">
        <v>45</v>
      </c>
      <c r="C23" s="36">
        <v>55850.654000000002</v>
      </c>
      <c r="D23" s="36">
        <v>2.9999999999999997E-4</v>
      </c>
      <c r="E23">
        <f>+(C23-C$7)/C$8</f>
        <v>3772.5130703543155</v>
      </c>
      <c r="F23">
        <f>ROUND(2*E23,0)/2</f>
        <v>3772.5</v>
      </c>
      <c r="G23">
        <f>+C23-(C$7+F23*C$8)</f>
        <v>3.8525000054505654E-3</v>
      </c>
      <c r="K23">
        <f>+G23</f>
        <v>3.8525000054505654E-3</v>
      </c>
      <c r="O23">
        <f ca="1">+C$11+C$12*$F23</f>
        <v>3.6072947125302692E-3</v>
      </c>
      <c r="Q23" s="2">
        <f>+C23-15018.5</f>
        <v>40832.154000000002</v>
      </c>
      <c r="S23">
        <f ca="1">+(O23-G23)^2</f>
        <v>6.0125635676128252E-8</v>
      </c>
    </row>
    <row r="24" spans="1:19" x14ac:dyDescent="0.2">
      <c r="A24" s="33" t="s">
        <v>46</v>
      </c>
      <c r="B24" s="34" t="s">
        <v>45</v>
      </c>
      <c r="C24" s="35">
        <v>56214.6728</v>
      </c>
      <c r="D24" s="35">
        <v>4.0000000000000002E-4</v>
      </c>
      <c r="E24">
        <f>+(C24-C$7)/C$8</f>
        <v>5007.5175317471458</v>
      </c>
      <c r="F24">
        <f>ROUND(2*E24,0)/2</f>
        <v>5007.5</v>
      </c>
      <c r="G24">
        <f>+C24-(C$7+F24*C$8)</f>
        <v>5.1674999995157123E-3</v>
      </c>
      <c r="K24">
        <f>+G24</f>
        <v>5.1674999995157123E-3</v>
      </c>
      <c r="O24">
        <f ca="1">+C$11+C$12*$F24</f>
        <v>5.0700528644021751E-3</v>
      </c>
      <c r="Q24" s="2">
        <f>+C24-15018.5</f>
        <v>41196.1728</v>
      </c>
      <c r="S24">
        <f ca="1">+(O24-G24)^2</f>
        <v>9.4959441418359712E-9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2024-01-11T05:58:34Z</dcterms:modified>
</cp:coreProperties>
</file>