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8D0B8B6-8ED8-428E-AAF1-92F91A9E0D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57" i="1" l="1"/>
  <c r="F57" i="1"/>
  <c r="G57" i="1"/>
  <c r="K57" i="1"/>
  <c r="Q57" i="1"/>
  <c r="Q56" i="1"/>
  <c r="A11" i="2"/>
  <c r="H11" i="2"/>
  <c r="B11" i="2"/>
  <c r="G11" i="2"/>
  <c r="C11" i="2"/>
  <c r="D11" i="2"/>
  <c r="C4" i="1"/>
  <c r="C7" i="1"/>
  <c r="D4" i="1"/>
  <c r="C8" i="1"/>
  <c r="A12" i="2"/>
  <c r="H12" i="2"/>
  <c r="B12" i="2"/>
  <c r="G12" i="2"/>
  <c r="C12" i="2"/>
  <c r="D12" i="2"/>
  <c r="A13" i="2"/>
  <c r="H13" i="2"/>
  <c r="B13" i="2"/>
  <c r="G13" i="2"/>
  <c r="C13" i="2"/>
  <c r="D13" i="2"/>
  <c r="A14" i="2"/>
  <c r="H14" i="2"/>
  <c r="B14" i="2"/>
  <c r="G14" i="2"/>
  <c r="C14" i="2"/>
  <c r="D14" i="2"/>
  <c r="A15" i="2"/>
  <c r="H15" i="2"/>
  <c r="B15" i="2"/>
  <c r="G15" i="2"/>
  <c r="C15" i="2"/>
  <c r="E15" i="2"/>
  <c r="D15" i="2"/>
  <c r="E25" i="1"/>
  <c r="F25" i="1"/>
  <c r="A16" i="2"/>
  <c r="H16" i="2"/>
  <c r="B16" i="2"/>
  <c r="G16" i="2"/>
  <c r="C16" i="2"/>
  <c r="E16" i="2"/>
  <c r="D16" i="2"/>
  <c r="E26" i="1"/>
  <c r="F26" i="1"/>
  <c r="A17" i="2"/>
  <c r="H17" i="2"/>
  <c r="B17" i="2"/>
  <c r="G17" i="2"/>
  <c r="C17" i="2"/>
  <c r="D17" i="2"/>
  <c r="E27" i="1"/>
  <c r="A18" i="2"/>
  <c r="H18" i="2"/>
  <c r="B18" i="2"/>
  <c r="G18" i="2"/>
  <c r="C18" i="2"/>
  <c r="E18" i="2"/>
  <c r="D18" i="2"/>
  <c r="E28" i="1"/>
  <c r="F28" i="1"/>
  <c r="G28" i="1"/>
  <c r="A19" i="2"/>
  <c r="H19" i="2"/>
  <c r="B19" i="2"/>
  <c r="G19" i="2"/>
  <c r="C19" i="2"/>
  <c r="D19" i="2"/>
  <c r="E29" i="1"/>
  <c r="F29" i="1"/>
  <c r="A20" i="2"/>
  <c r="H20" i="2"/>
  <c r="B20" i="2"/>
  <c r="G20" i="2"/>
  <c r="C20" i="2"/>
  <c r="D20" i="2"/>
  <c r="E30" i="1"/>
  <c r="A21" i="2"/>
  <c r="H21" i="2"/>
  <c r="B21" i="2"/>
  <c r="G21" i="2"/>
  <c r="C21" i="2"/>
  <c r="E21" i="2"/>
  <c r="D21" i="2"/>
  <c r="E31" i="1"/>
  <c r="F31" i="1"/>
  <c r="A22" i="2"/>
  <c r="H22" i="2"/>
  <c r="B22" i="2"/>
  <c r="G22" i="2"/>
  <c r="C22" i="2"/>
  <c r="E22" i="2"/>
  <c r="D22" i="2"/>
  <c r="E32" i="1"/>
  <c r="A23" i="2"/>
  <c r="H23" i="2"/>
  <c r="B23" i="2"/>
  <c r="G23" i="2"/>
  <c r="C23" i="2"/>
  <c r="E23" i="2"/>
  <c r="D23" i="2"/>
  <c r="E33" i="1"/>
  <c r="F33" i="1"/>
  <c r="A24" i="2"/>
  <c r="H24" i="2"/>
  <c r="B24" i="2"/>
  <c r="G24" i="2"/>
  <c r="C24" i="2"/>
  <c r="E24" i="2"/>
  <c r="D24" i="2"/>
  <c r="E34" i="1"/>
  <c r="F34" i="1"/>
  <c r="G34" i="1"/>
  <c r="I34" i="1"/>
  <c r="A25" i="2"/>
  <c r="H25" i="2"/>
  <c r="B25" i="2"/>
  <c r="G25" i="2"/>
  <c r="C25" i="2"/>
  <c r="D25" i="2"/>
  <c r="E35" i="1"/>
  <c r="A26" i="2"/>
  <c r="H26" i="2"/>
  <c r="B26" i="2"/>
  <c r="G26" i="2"/>
  <c r="C26" i="2"/>
  <c r="E26" i="2"/>
  <c r="D26" i="2"/>
  <c r="E36" i="1"/>
  <c r="F36" i="1"/>
  <c r="G36" i="1"/>
  <c r="A27" i="2"/>
  <c r="H27" i="2"/>
  <c r="B27" i="2"/>
  <c r="G27" i="2"/>
  <c r="C27" i="2"/>
  <c r="D27" i="2"/>
  <c r="E37" i="1"/>
  <c r="F37" i="1"/>
  <c r="A28" i="2"/>
  <c r="H28" i="2"/>
  <c r="B28" i="2"/>
  <c r="G28" i="2"/>
  <c r="C28" i="2"/>
  <c r="D28" i="2"/>
  <c r="E38" i="1"/>
  <c r="A29" i="2"/>
  <c r="H29" i="2"/>
  <c r="B29" i="2"/>
  <c r="G29" i="2"/>
  <c r="C29" i="2"/>
  <c r="E29" i="2"/>
  <c r="D29" i="2"/>
  <c r="E39" i="1"/>
  <c r="F39" i="1"/>
  <c r="A30" i="2"/>
  <c r="H30" i="2"/>
  <c r="B30" i="2"/>
  <c r="G30" i="2"/>
  <c r="C30" i="2"/>
  <c r="E30" i="2"/>
  <c r="D30" i="2"/>
  <c r="E40" i="1"/>
  <c r="A31" i="2"/>
  <c r="H31" i="2"/>
  <c r="B31" i="2"/>
  <c r="G31" i="2"/>
  <c r="C31" i="2"/>
  <c r="E31" i="2"/>
  <c r="D31" i="2"/>
  <c r="E41" i="1"/>
  <c r="F41" i="1"/>
  <c r="A32" i="2"/>
  <c r="H32" i="2"/>
  <c r="B32" i="2"/>
  <c r="G32" i="2"/>
  <c r="C32" i="2"/>
  <c r="E32" i="2"/>
  <c r="D32" i="2"/>
  <c r="E42" i="1"/>
  <c r="F42" i="1"/>
  <c r="G42" i="1"/>
  <c r="I42" i="1"/>
  <c r="A33" i="2"/>
  <c r="H33" i="2"/>
  <c r="B33" i="2"/>
  <c r="G33" i="2"/>
  <c r="C33" i="2"/>
  <c r="D33" i="2"/>
  <c r="E43" i="1"/>
  <c r="A34" i="2"/>
  <c r="H34" i="2"/>
  <c r="B34" i="2"/>
  <c r="G34" i="2"/>
  <c r="C34" i="2"/>
  <c r="E34" i="2"/>
  <c r="D34" i="2"/>
  <c r="E44" i="1"/>
  <c r="F44" i="1"/>
  <c r="G44" i="1"/>
  <c r="A35" i="2"/>
  <c r="H35" i="2"/>
  <c r="B35" i="2"/>
  <c r="G35" i="2"/>
  <c r="C35" i="2"/>
  <c r="D35" i="2"/>
  <c r="E45" i="1"/>
  <c r="F45" i="1"/>
  <c r="A36" i="2"/>
  <c r="H36" i="2"/>
  <c r="B36" i="2"/>
  <c r="G36" i="2"/>
  <c r="C36" i="2"/>
  <c r="D36" i="2"/>
  <c r="E46" i="1"/>
  <c r="A37" i="2"/>
  <c r="H37" i="2"/>
  <c r="B37" i="2"/>
  <c r="G37" i="2"/>
  <c r="C37" i="2"/>
  <c r="E37" i="2"/>
  <c r="D37" i="2"/>
  <c r="E47" i="1"/>
  <c r="F47" i="1"/>
  <c r="A38" i="2"/>
  <c r="H38" i="2"/>
  <c r="B38" i="2"/>
  <c r="G38" i="2"/>
  <c r="C38" i="2"/>
  <c r="E38" i="2"/>
  <c r="D38" i="2"/>
  <c r="E48" i="1"/>
  <c r="A39" i="2"/>
  <c r="H39" i="2"/>
  <c r="B39" i="2"/>
  <c r="G39" i="2"/>
  <c r="C39" i="2"/>
  <c r="E39" i="2"/>
  <c r="D39" i="2"/>
  <c r="E50" i="1"/>
  <c r="F50" i="1"/>
  <c r="A40" i="2"/>
  <c r="H40" i="2"/>
  <c r="B40" i="2"/>
  <c r="G40" i="2"/>
  <c r="C40" i="2"/>
  <c r="E40" i="2"/>
  <c r="D40" i="2"/>
  <c r="E51" i="1"/>
  <c r="A41" i="2"/>
  <c r="H41" i="2"/>
  <c r="B41" i="2"/>
  <c r="G41" i="2"/>
  <c r="C41" i="2"/>
  <c r="E41" i="2"/>
  <c r="D41" i="2"/>
  <c r="E52" i="1"/>
  <c r="F52" i="1"/>
  <c r="A42" i="2"/>
  <c r="H42" i="2"/>
  <c r="B42" i="2"/>
  <c r="G42" i="2"/>
  <c r="C42" i="2"/>
  <c r="E42" i="2"/>
  <c r="D42" i="2"/>
  <c r="E53" i="1"/>
  <c r="F53" i="1"/>
  <c r="A43" i="2"/>
  <c r="H43" i="2"/>
  <c r="B43" i="2"/>
  <c r="G43" i="2"/>
  <c r="C43" i="2"/>
  <c r="D43" i="2"/>
  <c r="E54" i="1"/>
  <c r="F54" i="1"/>
  <c r="A44" i="2"/>
  <c r="H44" i="2"/>
  <c r="B44" i="2"/>
  <c r="G44" i="2"/>
  <c r="C44" i="2"/>
  <c r="D44" i="2"/>
  <c r="E55" i="1"/>
  <c r="B2" i="3"/>
  <c r="C4" i="3"/>
  <c r="D4" i="3"/>
  <c r="C7" i="3"/>
  <c r="E24" i="3"/>
  <c r="F24" i="3"/>
  <c r="G11" i="3"/>
  <c r="F11" i="3"/>
  <c r="E22" i="3"/>
  <c r="F22" i="3"/>
  <c r="G22" i="3"/>
  <c r="I22" i="3"/>
  <c r="G24" i="3"/>
  <c r="E28" i="3"/>
  <c r="F28" i="3"/>
  <c r="E29" i="3"/>
  <c r="F29" i="3"/>
  <c r="E30" i="3"/>
  <c r="F30" i="3"/>
  <c r="G30" i="3"/>
  <c r="I30" i="3"/>
  <c r="E36" i="3"/>
  <c r="F36" i="3"/>
  <c r="E37" i="3"/>
  <c r="F37" i="3"/>
  <c r="E38" i="3"/>
  <c r="F38" i="3"/>
  <c r="G38" i="3"/>
  <c r="I38" i="3"/>
  <c r="E44" i="3"/>
  <c r="F44" i="3"/>
  <c r="E45" i="3"/>
  <c r="F45" i="3"/>
  <c r="E46" i="3"/>
  <c r="F46" i="3"/>
  <c r="G46" i="3"/>
  <c r="I46" i="3"/>
  <c r="E52" i="3"/>
  <c r="F52" i="3"/>
  <c r="E53" i="3"/>
  <c r="F53" i="3"/>
  <c r="E54" i="3"/>
  <c r="F54" i="3"/>
  <c r="G54" i="3"/>
  <c r="K54" i="3"/>
  <c r="E14" i="3"/>
  <c r="C17" i="3"/>
  <c r="Q21" i="3"/>
  <c r="Q22" i="3"/>
  <c r="Q23" i="3"/>
  <c r="I24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B2" i="1"/>
  <c r="C9" i="1"/>
  <c r="D9" i="1"/>
  <c r="E49" i="1"/>
  <c r="F49" i="1"/>
  <c r="G49" i="1"/>
  <c r="K49" i="1"/>
  <c r="F51" i="1"/>
  <c r="G52" i="1"/>
  <c r="I52" i="1"/>
  <c r="G53" i="1"/>
  <c r="K53" i="1"/>
  <c r="F55" i="1"/>
  <c r="F27" i="1"/>
  <c r="G27" i="1"/>
  <c r="I27" i="1"/>
  <c r="F30" i="1"/>
  <c r="F32" i="1"/>
  <c r="G32" i="1"/>
  <c r="I32" i="1"/>
  <c r="F35" i="1"/>
  <c r="G35" i="1"/>
  <c r="F38" i="1"/>
  <c r="F40" i="1"/>
  <c r="G40" i="1"/>
  <c r="I40" i="1"/>
  <c r="F43" i="1"/>
  <c r="G43" i="1"/>
  <c r="F46" i="1"/>
  <c r="F48" i="1"/>
  <c r="G48" i="1"/>
  <c r="I48" i="1"/>
  <c r="F16" i="1"/>
  <c r="F17" i="1" s="1"/>
  <c r="C17" i="1"/>
  <c r="Q21" i="1"/>
  <c r="Q22" i="1"/>
  <c r="Q23" i="1"/>
  <c r="Q24" i="1"/>
  <c r="G25" i="1"/>
  <c r="I25" i="1"/>
  <c r="Q25" i="1"/>
  <c r="Q26" i="1"/>
  <c r="Q27" i="1"/>
  <c r="I28" i="1"/>
  <c r="Q28" i="1"/>
  <c r="Q29" i="1"/>
  <c r="G30" i="1"/>
  <c r="I30" i="1"/>
  <c r="Q30" i="1"/>
  <c r="G31" i="1"/>
  <c r="I31" i="1"/>
  <c r="Q31" i="1"/>
  <c r="Q32" i="1"/>
  <c r="G33" i="1"/>
  <c r="I33" i="1"/>
  <c r="Q33" i="1"/>
  <c r="Q34" i="1"/>
  <c r="I35" i="1"/>
  <c r="Q35" i="1"/>
  <c r="I36" i="1"/>
  <c r="Q36" i="1"/>
  <c r="Q37" i="1"/>
  <c r="G38" i="1"/>
  <c r="I38" i="1"/>
  <c r="Q38" i="1"/>
  <c r="G39" i="1"/>
  <c r="I39" i="1"/>
  <c r="Q39" i="1"/>
  <c r="Q40" i="1"/>
  <c r="G41" i="1"/>
  <c r="I41" i="1"/>
  <c r="Q41" i="1"/>
  <c r="Q42" i="1"/>
  <c r="I43" i="1"/>
  <c r="Q43" i="1"/>
  <c r="I44" i="1"/>
  <c r="Q44" i="1"/>
  <c r="Q45" i="1"/>
  <c r="G46" i="1"/>
  <c r="I46" i="1"/>
  <c r="Q46" i="1"/>
  <c r="G47" i="1"/>
  <c r="I47" i="1"/>
  <c r="Q47" i="1"/>
  <c r="Q48" i="1"/>
  <c r="Q49" i="1"/>
  <c r="Q50" i="1"/>
  <c r="Q51" i="1"/>
  <c r="Q52" i="1"/>
  <c r="Q53" i="1"/>
  <c r="Q54" i="1"/>
  <c r="Q55" i="1"/>
  <c r="E43" i="2"/>
  <c r="E35" i="2"/>
  <c r="E27" i="2"/>
  <c r="E19" i="2"/>
  <c r="E14" i="2"/>
  <c r="E33" i="2"/>
  <c r="E25" i="2"/>
  <c r="E17" i="2"/>
  <c r="E44" i="2"/>
  <c r="E36" i="2"/>
  <c r="E28" i="2"/>
  <c r="E20" i="2"/>
  <c r="E21" i="1"/>
  <c r="F21" i="1"/>
  <c r="E22" i="1"/>
  <c r="F22" i="1"/>
  <c r="G22" i="1"/>
  <c r="I22" i="1"/>
  <c r="E23" i="1"/>
  <c r="F23" i="1"/>
  <c r="G23" i="1"/>
  <c r="I23" i="1"/>
  <c r="E24" i="1"/>
  <c r="F24" i="1"/>
  <c r="G24" i="1"/>
  <c r="I24" i="1"/>
  <c r="E13" i="2"/>
  <c r="G51" i="1"/>
  <c r="K51" i="1"/>
  <c r="G45" i="1"/>
  <c r="I45" i="1"/>
  <c r="G37" i="1"/>
  <c r="I37" i="1"/>
  <c r="G29" i="1"/>
  <c r="I29" i="1"/>
  <c r="G21" i="1"/>
  <c r="I21" i="1"/>
  <c r="G54" i="1"/>
  <c r="K54" i="1"/>
  <c r="G50" i="1"/>
  <c r="G52" i="3"/>
  <c r="K52" i="3"/>
  <c r="E50" i="3"/>
  <c r="F50" i="3"/>
  <c r="G50" i="3"/>
  <c r="I50" i="3"/>
  <c r="G44" i="3"/>
  <c r="I44" i="3"/>
  <c r="E42" i="3"/>
  <c r="F42" i="3"/>
  <c r="G36" i="3"/>
  <c r="I36" i="3"/>
  <c r="E34" i="3"/>
  <c r="F34" i="3"/>
  <c r="G28" i="3"/>
  <c r="I28" i="3"/>
  <c r="E26" i="3"/>
  <c r="F26" i="3"/>
  <c r="G26" i="1"/>
  <c r="I26" i="1"/>
  <c r="E55" i="3"/>
  <c r="F55" i="3"/>
  <c r="G55" i="3"/>
  <c r="K55" i="3"/>
  <c r="E47" i="3"/>
  <c r="F47" i="3"/>
  <c r="G47" i="3"/>
  <c r="I47" i="3"/>
  <c r="G41" i="3"/>
  <c r="I41" i="3"/>
  <c r="E39" i="3"/>
  <c r="F39" i="3"/>
  <c r="G39" i="3"/>
  <c r="I39" i="3"/>
  <c r="G33" i="3"/>
  <c r="I33" i="3"/>
  <c r="E31" i="3"/>
  <c r="F31" i="3"/>
  <c r="G31" i="3"/>
  <c r="I31" i="3"/>
  <c r="E23" i="3"/>
  <c r="F23" i="3"/>
  <c r="G23" i="3"/>
  <c r="E21" i="3"/>
  <c r="F21" i="3"/>
  <c r="G21" i="3"/>
  <c r="I21" i="3"/>
  <c r="E49" i="3"/>
  <c r="F49" i="3"/>
  <c r="G49" i="3"/>
  <c r="K49" i="3"/>
  <c r="G43" i="3"/>
  <c r="I43" i="3"/>
  <c r="E41" i="3"/>
  <c r="F41" i="3"/>
  <c r="E33" i="3"/>
  <c r="F33" i="3"/>
  <c r="E25" i="3"/>
  <c r="F25" i="3"/>
  <c r="G25" i="3"/>
  <c r="I25" i="3"/>
  <c r="E56" i="1"/>
  <c r="F56" i="1"/>
  <c r="G53" i="3"/>
  <c r="K53" i="3"/>
  <c r="E51" i="3"/>
  <c r="F51" i="3"/>
  <c r="G51" i="3"/>
  <c r="K51" i="3"/>
  <c r="G45" i="3"/>
  <c r="I45" i="3"/>
  <c r="E43" i="3"/>
  <c r="F43" i="3"/>
  <c r="G37" i="3"/>
  <c r="I37" i="3"/>
  <c r="E35" i="3"/>
  <c r="F35" i="3"/>
  <c r="G35" i="3"/>
  <c r="I35" i="3"/>
  <c r="G29" i="3"/>
  <c r="I29" i="3"/>
  <c r="E27" i="3"/>
  <c r="F27" i="3"/>
  <c r="G27" i="3"/>
  <c r="I27" i="3"/>
  <c r="G56" i="1"/>
  <c r="K56" i="1"/>
  <c r="G55" i="1"/>
  <c r="K55" i="1"/>
  <c r="E48" i="3"/>
  <c r="F48" i="3"/>
  <c r="G48" i="3"/>
  <c r="I48" i="3"/>
  <c r="G42" i="3"/>
  <c r="I42" i="3"/>
  <c r="E40" i="3"/>
  <c r="F40" i="3"/>
  <c r="G40" i="3"/>
  <c r="I40" i="3"/>
  <c r="G34" i="3"/>
  <c r="I34" i="3"/>
  <c r="E32" i="3"/>
  <c r="F32" i="3"/>
  <c r="G32" i="3"/>
  <c r="I32" i="3"/>
  <c r="G26" i="3"/>
  <c r="I26" i="3"/>
  <c r="I50" i="1"/>
  <c r="I23" i="3"/>
  <c r="E11" i="2"/>
  <c r="E12" i="2"/>
  <c r="C12" i="1"/>
  <c r="C12" i="3"/>
  <c r="C11" i="3"/>
  <c r="C11" i="1"/>
  <c r="O52" i="1" l="1"/>
  <c r="O54" i="1"/>
  <c r="O49" i="1"/>
  <c r="O53" i="1"/>
  <c r="O51" i="1"/>
  <c r="O57" i="1"/>
  <c r="O50" i="1"/>
  <c r="C15" i="1"/>
  <c r="O55" i="1"/>
  <c r="O56" i="1"/>
  <c r="O23" i="3"/>
  <c r="O50" i="3"/>
  <c r="O47" i="3"/>
  <c r="O38" i="3"/>
  <c r="O41" i="3"/>
  <c r="O51" i="3"/>
  <c r="O49" i="3"/>
  <c r="O22" i="3"/>
  <c r="O45" i="3"/>
  <c r="O53" i="3"/>
  <c r="O28" i="3"/>
  <c r="O35" i="3"/>
  <c r="O24" i="3"/>
  <c r="O43" i="3"/>
  <c r="O48" i="3"/>
  <c r="O32" i="3"/>
  <c r="O37" i="3"/>
  <c r="O40" i="3"/>
  <c r="O46" i="3"/>
  <c r="O44" i="3"/>
  <c r="O36" i="3"/>
  <c r="O39" i="3"/>
  <c r="O34" i="3"/>
  <c r="O52" i="3"/>
  <c r="O42" i="3"/>
  <c r="O25" i="3"/>
  <c r="O31" i="3"/>
  <c r="O55" i="3"/>
  <c r="O54" i="3"/>
  <c r="O21" i="3"/>
  <c r="O26" i="3"/>
  <c r="O29" i="3"/>
  <c r="O27" i="3"/>
  <c r="C15" i="3"/>
  <c r="O30" i="3"/>
  <c r="O33" i="3"/>
  <c r="C16" i="3"/>
  <c r="D18" i="3" s="1"/>
  <c r="C16" i="1"/>
  <c r="D18" i="1" s="1"/>
  <c r="E15" i="3"/>
  <c r="C18" i="3" l="1"/>
  <c r="C18" i="1"/>
  <c r="F18" i="1"/>
  <c r="F19" i="1" s="1"/>
  <c r="E16" i="3"/>
  <c r="E17" i="3" s="1"/>
</calcChain>
</file>

<file path=xl/sharedStrings.xml><?xml version="1.0" encoding="utf-8"?>
<sst xmlns="http://schemas.openxmlformats.org/spreadsheetml/2006/main" count="550" uniqueCount="185">
  <si>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</si>
  <si>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</si>
  <si>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</si>
  <si>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</si>
  <si>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</si>
  <si>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</si>
  <si>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</si>
  <si>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</si>
  <si>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</si>
  <si>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</si>
  <si>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</si>
  <si>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</si>
  <si>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</si>
  <si>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</si>
  <si>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</si>
  <si>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</si>
  <si>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</si>
  <si>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</si>
  <si>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</si>
  <si>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</si>
  <si>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</si>
  <si>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</si>
  <si>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</si>
  <si>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</si>
  <si>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</si>
  <si>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</si>
  <si>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</si>
  <si>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</si>
  <si>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</si>
  <si>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</si>
  <si>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</si>
  <si>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</si>
  <si>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</si>
  <si>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</si>
  <si>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</si>
  <si>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</si>
  <si>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GS Aqr / GSC 5226-0278               </t>
  </si>
  <si>
    <t>EW</t>
  </si>
  <si>
    <t>IBVS 5802</t>
  </si>
  <si>
    <t>IBVS 5960</t>
  </si>
  <si>
    <t>Add cycle</t>
  </si>
  <si>
    <t>Old Cycle</t>
  </si>
  <si>
    <t>IBVS 6033</t>
  </si>
  <si>
    <t>II</t>
  </si>
  <si>
    <t>IBVS 6042</t>
  </si>
  <si>
    <t>OEJV 0155</t>
  </si>
  <si>
    <t>0,0080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</si>
  <si>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</si>
  <si>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</si>
  <si>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</si>
  <si>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</si>
  <si>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</si>
  <si>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</si>
  <si>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</si>
  <si>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</si>
  <si>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</si>
  <si>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</si>
  <si>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</si>
  <si>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2439358.342 </t>
  </si>
  <si>
    <t> 20.08.1966 20:12 </t>
  </si>
  <si>
    <t> -0.111 </t>
  </si>
  <si>
    <t>P </t>
  </si>
  <si>
    <t> N.E.Kurochkin </t>
  </si>
  <si>
    <t> PZ 22.344 </t>
  </si>
  <si>
    <t>2439764.237 </t>
  </si>
  <si>
    <t> 30.09.1967 17:41 </t>
  </si>
  <si>
    <t> -0.078 </t>
  </si>
  <si>
    <t>2441210.334 </t>
  </si>
  <si>
    <t> 15.09.1971 20:00 </t>
  </si>
  <si>
    <t> -0.120 </t>
  </si>
  <si>
    <t>2441597.326 </t>
  </si>
  <si>
    <t> 06.10.1972 19:49 </t>
  </si>
  <si>
    <t> -0.099 </t>
  </si>
  <si>
    <t>2442305.416 </t>
  </si>
  <si>
    <t> 14.09.1974 21:59 </t>
  </si>
  <si>
    <t> -0.116 </t>
  </si>
  <si>
    <t>2442309.353 </t>
  </si>
  <si>
    <t> 18.09.1974 20:28 </t>
  </si>
  <si>
    <t> -0.107 </t>
  </si>
  <si>
    <t>2442334.210 </t>
  </si>
  <si>
    <t> 13.10.1974 17:02 </t>
  </si>
  <si>
    <t> -0.125 </t>
  </si>
  <si>
    <t>2442369.200 </t>
  </si>
  <si>
    <t> 17.11.1974 16:48 </t>
  </si>
  <si>
    <t> -0.110 </t>
  </si>
  <si>
    <t>2442655.364 </t>
  </si>
  <si>
    <t> 30.08.1975 20:44 </t>
  </si>
  <si>
    <t>2442660.443 </t>
  </si>
  <si>
    <t> 04.09.1975 22:37 </t>
  </si>
  <si>
    <t>2443046.417 </t>
  </si>
  <si>
    <t> 24.09.1976 22:00 </t>
  </si>
  <si>
    <t> -0.140 </t>
  </si>
  <si>
    <t>2443047.370 </t>
  </si>
  <si>
    <t> 25.09.1976 20:52 </t>
  </si>
  <si>
    <t> -0.122 </t>
  </si>
  <si>
    <t>2443396.368 </t>
  </si>
  <si>
    <t> 09.09.1977 20:49 </t>
  </si>
  <si>
    <t> -0.128 </t>
  </si>
  <si>
    <t>2443754.395 </t>
  </si>
  <si>
    <t> 02.09.1978 21:28 </t>
  </si>
  <si>
    <t> -0.082 </t>
  </si>
  <si>
    <t>2443787.331 </t>
  </si>
  <si>
    <t> 05.10.1978 19:56 </t>
  </si>
  <si>
    <t> -0.064 </t>
  </si>
  <si>
    <t>2444075.429 </t>
  </si>
  <si>
    <t> 20.07.1979 22:17 </t>
  </si>
  <si>
    <t> 0.004 </t>
  </si>
  <si>
    <t>2444137.393 </t>
  </si>
  <si>
    <t> 20.09.1979 21:25 </t>
  </si>
  <si>
    <t> -0.127 </t>
  </si>
  <si>
    <t>2444489.399 </t>
  </si>
  <si>
    <t> 06.09.1980 21:34 </t>
  </si>
  <si>
    <t> -0.117 </t>
  </si>
  <si>
    <t>2444899.264 </t>
  </si>
  <si>
    <t> 21.10.1981 18:20 </t>
  </si>
  <si>
    <t> -0.042 </t>
  </si>
  <si>
    <t>2444904.245 </t>
  </si>
  <si>
    <t> 26.10.1981 17:52 </t>
  </si>
  <si>
    <t>2445231.396 </t>
  </si>
  <si>
    <t> 18.09.1982 21:30 </t>
  </si>
  <si>
    <t> -0.080 </t>
  </si>
  <si>
    <t>2445232.362 </t>
  </si>
  <si>
    <t> 19.09.1982 20:41 </t>
  </si>
  <si>
    <t> -0.049 </t>
  </si>
  <si>
    <t>2445234.372 </t>
  </si>
  <si>
    <t> 21.09.1982 20:55 </t>
  </si>
  <si>
    <t> -0.097 </t>
  </si>
  <si>
    <t>2445237.373 </t>
  </si>
  <si>
    <t> 24.09.1982 20:57 </t>
  </si>
  <si>
    <t> -0.088 </t>
  </si>
  <si>
    <t>2445264.327 </t>
  </si>
  <si>
    <t> 21.10.1982 19:50 </t>
  </si>
  <si>
    <t> -0.067 </t>
  </si>
  <si>
    <t>2445266.365 </t>
  </si>
  <si>
    <t> 23.10.1982 20:45 </t>
  </si>
  <si>
    <t> -0.087 </t>
  </si>
  <si>
    <t>2445341.166 </t>
  </si>
  <si>
    <t> 06.01.1983 15:59 </t>
  </si>
  <si>
    <t>2445594.441 </t>
  </si>
  <si>
    <t> 16.09.1983 22:35 </t>
  </si>
  <si>
    <t> -0.066 </t>
  </si>
  <si>
    <t>2452503.5130 </t>
  </si>
  <si>
    <t> 17.08.2002 00:18 </t>
  </si>
  <si>
    <t> 0.0066 </t>
  </si>
  <si>
    <t>E </t>
  </si>
  <si>
    <t>?</t>
  </si>
  <si>
    <t> E.Blättler </t>
  </si>
  <si>
    <t> BBS 128 </t>
  </si>
  <si>
    <t>2453943.488 </t>
  </si>
  <si>
    <t> 26.07.2006 23:42 </t>
  </si>
  <si>
    <t> 0.015 </t>
  </si>
  <si>
    <t>C </t>
  </si>
  <si>
    <t>-I</t>
  </si>
  <si>
    <t> M.&amp; C.Rätz </t>
  </si>
  <si>
    <t>BAVM 186 </t>
  </si>
  <si>
    <t>2455070.7380 </t>
  </si>
  <si>
    <t> 27.08.2009 05:42 </t>
  </si>
  <si>
    <t>5657</t>
  </si>
  <si>
    <t> 0.0166 </t>
  </si>
  <si>
    <t>ns</t>
  </si>
  <si>
    <t> A.Paschke </t>
  </si>
  <si>
    <t>OEJV 0155 </t>
  </si>
  <si>
    <t>2455480.7208 </t>
  </si>
  <si>
    <t> 11.10.2010 05:17 </t>
  </si>
  <si>
    <t>6753</t>
  </si>
  <si>
    <t> 0.0231 </t>
  </si>
  <si>
    <t> R.Diethelm </t>
  </si>
  <si>
    <t>IBVS 5960 </t>
  </si>
  <si>
    <t>2455838.3281 </t>
  </si>
  <si>
    <t> 03.10.2011 19:52 </t>
  </si>
  <si>
    <t>7709</t>
  </si>
  <si>
    <t> 0.0233 </t>
  </si>
  <si>
    <t>o</t>
  </si>
  <si>
    <t> G.Corfini </t>
  </si>
  <si>
    <t>IBVS 6033 </t>
  </si>
  <si>
    <t>2456227.7316 </t>
  </si>
  <si>
    <t> 27.10.2012 05:33 </t>
  </si>
  <si>
    <t>8750</t>
  </si>
  <si>
    <t> 0.0241 </t>
  </si>
  <si>
    <t>IBVS 6042 </t>
  </si>
  <si>
    <t>s5</t>
  </si>
  <si>
    <t>s6</t>
  </si>
  <si>
    <t>s7</t>
  </si>
  <si>
    <t>BAD?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</si>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</sst>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2"/>
      <name val="Arial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9" fillId="0" borderId="0" xfId="0" applyFont="1" applyAlignment="1">
      <alignment horizontal="left"/>
    </xf>
    <xf numFmtId="0" fontId="6" fillId="0" borderId="0" xfId="0" applyFont="1" applyAlignment="1"/>
    <xf numFmtId="0" fontId="9" fillId="25" borderId="0" xfId="0" applyFont="1" applyFill="1" applyAlignment="1"/>
    <xf numFmtId="0" fontId="19" fillId="26" borderId="0" xfId="0" applyFont="1" applyFill="1" applyAlignment="1"/>
    <xf numFmtId="0" fontId="20" fillId="0" borderId="8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19" fillId="25" borderId="0" xfId="0" applyFont="1" applyFill="1" applyAlignment="1"/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 Aqr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7-4129-AAE8-5DAB1E2890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9.0020199997525197E-2</c:v>
                </c:pt>
                <c:pt idx="1">
                  <c:v>-0.10665460000018356</c:v>
                </c:pt>
                <c:pt idx="2">
                  <c:v>3.6938700002792757E-2</c:v>
                </c:pt>
                <c:pt idx="3">
                  <c:v>4.4752000001608394E-2</c:v>
                </c:pt>
                <c:pt idx="4">
                  <c:v>6.6387999977450818E-3</c:v>
                </c:pt>
                <c:pt idx="5">
                  <c:v>3.005690000281902E-2</c:v>
                </c:pt>
                <c:pt idx="6">
                  <c:v>2.430129999993369E-2</c:v>
                </c:pt>
                <c:pt idx="7">
                  <c:v>2.2274899994954467E-2</c:v>
                </c:pt>
                <c:pt idx="8">
                  <c:v>3.4374800001387484E-2</c:v>
                </c:pt>
                <c:pt idx="9">
                  <c:v>4.8739400001068134E-2</c:v>
                </c:pt>
                <c:pt idx="10">
                  <c:v>-4.0604499998153187E-2</c:v>
                </c:pt>
                <c:pt idx="11">
                  <c:v>-8.4472999951685779E-3</c:v>
                </c:pt>
                <c:pt idx="12">
                  <c:v>-9.8684999975375831E-3</c:v>
                </c:pt>
                <c:pt idx="13">
                  <c:v>3.9492999996582512E-2</c:v>
                </c:pt>
                <c:pt idx="14">
                  <c:v>5.5362899998726789E-2</c:v>
                </c:pt>
                <c:pt idx="15">
                  <c:v>-7.0433499997307081E-2</c:v>
                </c:pt>
                <c:pt idx="16">
                  <c:v>-3.3111800003098324E-2</c:v>
                </c:pt>
                <c:pt idx="17">
                  <c:v>-1.9272099998488557E-2</c:v>
                </c:pt>
                <c:pt idx="18">
                  <c:v>7.0681900004274212E-2</c:v>
                </c:pt>
                <c:pt idx="19">
                  <c:v>-1.2953499994182494E-2</c:v>
                </c:pt>
                <c:pt idx="20">
                  <c:v>8.6418000064441003E-3</c:v>
                </c:pt>
                <c:pt idx="21">
                  <c:v>5.3799000001163222E-2</c:v>
                </c:pt>
                <c:pt idx="22">
                  <c:v>-8.0972999930963852E-3</c:v>
                </c:pt>
                <c:pt idx="23">
                  <c:v>1.6360000154236332E-4</c:v>
                </c:pt>
                <c:pt idx="24">
                  <c:v>1.9511699996655807E-2</c:v>
                </c:pt>
                <c:pt idx="25">
                  <c:v>-1.4384599999175407E-2</c:v>
                </c:pt>
                <c:pt idx="26">
                  <c:v>-3.1862100004218519E-2</c:v>
                </c:pt>
                <c:pt idx="27">
                  <c:v>1.1367899998731446E-2</c:v>
                </c:pt>
                <c:pt idx="29">
                  <c:v>-1.6049999976530671E-4</c:v>
                </c:pt>
                <c:pt idx="31">
                  <c:v>0.60574520000227494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E7-4129-AAE8-5DAB1E2890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E7-4129-AAE8-5DAB1E2890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8">
                  <c:v>0</c:v>
                </c:pt>
                <c:pt idx="30">
                  <c:v>0.23712170000362676</c:v>
                </c:pt>
                <c:pt idx="32">
                  <c:v>0.58328850000543753</c:v>
                </c:pt>
                <c:pt idx="33">
                  <c:v>0.67337140000017826</c:v>
                </c:pt>
                <c:pt idx="34">
                  <c:v>0.79057769999781158</c:v>
                </c:pt>
                <c:pt idx="35">
                  <c:v>1.0903761000008672</c:v>
                </c:pt>
                <c:pt idx="36">
                  <c:v>1.0838384000016958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E7-4129-AAE8-5DAB1E2890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E7-4129-AAE8-5DAB1E2890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E7-4129-AAE8-5DAB1E2890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  <c:pt idx="35">
                    <c:v>1.1999999999999999E-3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E7-4129-AAE8-5DAB1E2890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3.8085104012669513E-2</c:v>
                </c:pt>
                <c:pt idx="29">
                  <c:v>3.872402221789728E-2</c:v>
                </c:pt>
                <c:pt idx="30">
                  <c:v>0.30511031925085974</c:v>
                </c:pt>
                <c:pt idx="31">
                  <c:v>0.51361062689018677</c:v>
                </c:pt>
                <c:pt idx="32">
                  <c:v>0.58947151512422991</c:v>
                </c:pt>
                <c:pt idx="33">
                  <c:v>0.65562084663881115</c:v>
                </c:pt>
                <c:pt idx="34">
                  <c:v>0.72764822564148768</c:v>
                </c:pt>
                <c:pt idx="35">
                  <c:v>0.93585037145170846</c:v>
                </c:pt>
                <c:pt idx="36">
                  <c:v>1.2600374687842759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E7-4129-AAE8-5DAB1E2890B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-28543</c:v>
                </c:pt>
                <c:pt idx="1">
                  <c:v>-27661</c:v>
                </c:pt>
                <c:pt idx="2">
                  <c:v>-24520.5</c:v>
                </c:pt>
                <c:pt idx="3">
                  <c:v>-23680</c:v>
                </c:pt>
                <c:pt idx="4">
                  <c:v>-22142</c:v>
                </c:pt>
                <c:pt idx="5">
                  <c:v>-22133.5</c:v>
                </c:pt>
                <c:pt idx="6">
                  <c:v>-22079.5</c:v>
                </c:pt>
                <c:pt idx="7">
                  <c:v>-22003.5</c:v>
                </c:pt>
                <c:pt idx="8">
                  <c:v>-21382</c:v>
                </c:pt>
                <c:pt idx="9">
                  <c:v>-21371</c:v>
                </c:pt>
                <c:pt idx="10">
                  <c:v>-20532.5</c:v>
                </c:pt>
                <c:pt idx="11">
                  <c:v>-20530.5</c:v>
                </c:pt>
                <c:pt idx="12">
                  <c:v>-19772.5</c:v>
                </c:pt>
                <c:pt idx="13">
                  <c:v>-18995</c:v>
                </c:pt>
                <c:pt idx="14">
                  <c:v>-18923.5</c:v>
                </c:pt>
                <c:pt idx="15">
                  <c:v>-18297.5</c:v>
                </c:pt>
                <c:pt idx="16">
                  <c:v>-18163</c:v>
                </c:pt>
                <c:pt idx="17">
                  <c:v>-17398.5</c:v>
                </c:pt>
                <c:pt idx="18">
                  <c:v>-16508.5</c:v>
                </c:pt>
                <c:pt idx="19">
                  <c:v>-16497.5</c:v>
                </c:pt>
                <c:pt idx="20">
                  <c:v>-15787</c:v>
                </c:pt>
                <c:pt idx="21">
                  <c:v>-15785</c:v>
                </c:pt>
                <c:pt idx="22">
                  <c:v>-15780.5</c:v>
                </c:pt>
                <c:pt idx="23">
                  <c:v>-15774</c:v>
                </c:pt>
                <c:pt idx="24">
                  <c:v>-15715.5</c:v>
                </c:pt>
                <c:pt idx="25">
                  <c:v>-15711</c:v>
                </c:pt>
                <c:pt idx="26">
                  <c:v>-15548.5</c:v>
                </c:pt>
                <c:pt idx="27">
                  <c:v>-14998.5</c:v>
                </c:pt>
                <c:pt idx="28">
                  <c:v>0</c:v>
                </c:pt>
                <c:pt idx="29">
                  <c:v>7.5</c:v>
                </c:pt>
                <c:pt idx="30">
                  <c:v>3134.5</c:v>
                </c:pt>
                <c:pt idx="31">
                  <c:v>5582</c:v>
                </c:pt>
                <c:pt idx="32">
                  <c:v>6472.5</c:v>
                </c:pt>
                <c:pt idx="33">
                  <c:v>7249</c:v>
                </c:pt>
                <c:pt idx="34">
                  <c:v>8094.5</c:v>
                </c:pt>
                <c:pt idx="35">
                  <c:v>10538.5</c:v>
                </c:pt>
                <c:pt idx="36">
                  <c:v>14344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E7-4129-AAE8-5DAB1E28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636296"/>
        <c:axId val="1"/>
      </c:scatterChart>
      <c:valAx>
        <c:axId val="51563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63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052631578947368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 Aqr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15789473684210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9-4F34-ADC6-3ABF55A78BD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0.56494449999445351</c:v>
                </c:pt>
                <c:pt idx="1">
                  <c:v>0.59724950000236277</c:v>
                </c:pt>
                <c:pt idx="2">
                  <c:v>0.55122750000737142</c:v>
                </c:pt>
                <c:pt idx="3">
                  <c:v>0.57091600000421749</c:v>
                </c:pt>
                <c:pt idx="4">
                  <c:v>0.55208500000298955</c:v>
                </c:pt>
                <c:pt idx="5">
                  <c:v>0.56138150000333553</c:v>
                </c:pt>
                <c:pt idx="6">
                  <c:v>0.5429260000018985</c:v>
                </c:pt>
                <c:pt idx="7">
                  <c:v>0.55766150000272319</c:v>
                </c:pt>
                <c:pt idx="8">
                  <c:v>0.56040650000068126</c:v>
                </c:pt>
                <c:pt idx="9">
                  <c:v>0.58950200000253972</c:v>
                </c:pt>
                <c:pt idx="10">
                  <c:v>0.52635800000280142</c:v>
                </c:pt>
                <c:pt idx="11">
                  <c:v>0.54419050000433344</c:v>
                </c:pt>
                <c:pt idx="12">
                  <c:v>0.53767950000474229</c:v>
                </c:pt>
                <c:pt idx="13">
                  <c:v>0.5825604999990901</c:v>
                </c:pt>
                <c:pt idx="14">
                  <c:v>0.60066450000158511</c:v>
                </c:pt>
                <c:pt idx="15">
                  <c:v>0.48004099999525351</c:v>
                </c:pt>
                <c:pt idx="16">
                  <c:v>0.5359524999948917</c:v>
                </c:pt>
                <c:pt idx="17">
                  <c:v>0.54490549999900395</c:v>
                </c:pt>
                <c:pt idx="18">
                  <c:v>0.61950700000306824</c:v>
                </c:pt>
                <c:pt idx="19">
                  <c:v>0.55060250000678934</c:v>
                </c:pt>
                <c:pt idx="20">
                  <c:v>0.58001100000547012</c:v>
                </c:pt>
                <c:pt idx="21">
                  <c:v>0.61084350000601262</c:v>
                </c:pt>
                <c:pt idx="22">
                  <c:v>0.56347500000265427</c:v>
                </c:pt>
                <c:pt idx="23">
                  <c:v>0.57193900000129361</c:v>
                </c:pt>
                <c:pt idx="24">
                  <c:v>0.59311500000330852</c:v>
                </c:pt>
                <c:pt idx="25">
                  <c:v>0.57374649999837857</c:v>
                </c:pt>
                <c:pt idx="26">
                  <c:v>0.56134649999876274</c:v>
                </c:pt>
                <c:pt idx="27">
                  <c:v>0.59298750000016298</c:v>
                </c:pt>
                <c:pt idx="29">
                  <c:v>0.64749750000191852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39-4F34-ADC6-3ABF55A78BDE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39-4F34-ADC6-3ABF55A78BDE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  <c:pt idx="28">
                  <c:v>0</c:v>
                </c:pt>
                <c:pt idx="30">
                  <c:v>0.27751400000124704</c:v>
                </c:pt>
                <c:pt idx="31">
                  <c:v>0.65067650000128197</c:v>
                </c:pt>
                <c:pt idx="32">
                  <c:v>0.4690110000083223</c:v>
                </c:pt>
                <c:pt idx="33">
                  <c:v>0.46825900000112597</c:v>
                </c:pt>
                <c:pt idx="34">
                  <c:v>0.46801200000481913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39-4F34-ADC6-3ABF55A78BDE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39-4F34-ADC6-3ABF55A78BD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39-4F34-ADC6-3ABF55A78BD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2E-3</c:v>
                  </c:pt>
                  <c:pt idx="31">
                    <c:v>0</c:v>
                  </c:pt>
                  <c:pt idx="32">
                    <c:v>8.9999999999999998E-4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39-4F34-ADC6-3ABF55A78BD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-35133.5</c:v>
                </c:pt>
                <c:pt idx="1">
                  <c:v>-34048.5</c:v>
                </c:pt>
                <c:pt idx="2">
                  <c:v>-30182.5</c:v>
                </c:pt>
                <c:pt idx="3">
                  <c:v>-29148</c:v>
                </c:pt>
                <c:pt idx="4">
                  <c:v>-27255</c:v>
                </c:pt>
                <c:pt idx="5">
                  <c:v>-27244.5</c:v>
                </c:pt>
                <c:pt idx="6">
                  <c:v>-27178</c:v>
                </c:pt>
                <c:pt idx="7">
                  <c:v>-27084.5</c:v>
                </c:pt>
                <c:pt idx="8">
                  <c:v>-26319.5</c:v>
                </c:pt>
                <c:pt idx="9">
                  <c:v>-26306</c:v>
                </c:pt>
                <c:pt idx="10">
                  <c:v>-25274</c:v>
                </c:pt>
                <c:pt idx="11">
                  <c:v>-25271.5</c:v>
                </c:pt>
                <c:pt idx="12">
                  <c:v>-24338.5</c:v>
                </c:pt>
                <c:pt idx="13">
                  <c:v>-23381.5</c:v>
                </c:pt>
                <c:pt idx="14">
                  <c:v>-23293.5</c:v>
                </c:pt>
                <c:pt idx="15">
                  <c:v>-22523</c:v>
                </c:pt>
                <c:pt idx="16">
                  <c:v>-22357.5</c:v>
                </c:pt>
                <c:pt idx="17">
                  <c:v>-21416.5</c:v>
                </c:pt>
                <c:pt idx="18">
                  <c:v>-20321</c:v>
                </c:pt>
                <c:pt idx="19">
                  <c:v>-20307.5</c:v>
                </c:pt>
                <c:pt idx="20">
                  <c:v>-19433</c:v>
                </c:pt>
                <c:pt idx="21">
                  <c:v>-19430.5</c:v>
                </c:pt>
                <c:pt idx="22">
                  <c:v>-19425</c:v>
                </c:pt>
                <c:pt idx="23">
                  <c:v>-19417</c:v>
                </c:pt>
                <c:pt idx="24">
                  <c:v>-19345</c:v>
                </c:pt>
                <c:pt idx="25">
                  <c:v>-19339.5</c:v>
                </c:pt>
                <c:pt idx="26">
                  <c:v>-19139.5</c:v>
                </c:pt>
                <c:pt idx="27">
                  <c:v>-18462.5</c:v>
                </c:pt>
                <c:pt idx="28">
                  <c:v>0</c:v>
                </c:pt>
                <c:pt idx="29">
                  <c:v>7.5</c:v>
                </c:pt>
                <c:pt idx="30">
                  <c:v>3858</c:v>
                </c:pt>
                <c:pt idx="31">
                  <c:v>6870.5</c:v>
                </c:pt>
                <c:pt idx="32">
                  <c:v>7967</c:v>
                </c:pt>
                <c:pt idx="33">
                  <c:v>8923</c:v>
                </c:pt>
                <c:pt idx="34">
                  <c:v>9964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0">
                  <c:v>0.6028377837760841</c:v>
                </c:pt>
                <c:pt idx="1">
                  <c:v>0.59871174364668289</c:v>
                </c:pt>
                <c:pt idx="2">
                  <c:v>0.58401011125934177</c:v>
                </c:pt>
                <c:pt idx="3">
                  <c:v>0.5800761126290509</c:v>
                </c:pt>
                <c:pt idx="4">
                  <c:v>0.57287740851388358</c:v>
                </c:pt>
                <c:pt idx="5">
                  <c:v>0.57283747909327654</c:v>
                </c:pt>
                <c:pt idx="6">
                  <c:v>0.57258459276276485</c:v>
                </c:pt>
                <c:pt idx="7">
                  <c:v>0.57222903077926346</c:v>
                </c:pt>
                <c:pt idx="8">
                  <c:v>0.5693198872778884</c:v>
                </c:pt>
                <c:pt idx="9">
                  <c:v>0.56926854945139349</c:v>
                </c:pt>
                <c:pt idx="10">
                  <c:v>0.56534405782600916</c:v>
                </c:pt>
                <c:pt idx="11">
                  <c:v>0.56533455082110262</c:v>
                </c:pt>
                <c:pt idx="12">
                  <c:v>0.56178653659001387</c:v>
                </c:pt>
                <c:pt idx="13">
                  <c:v>0.55814725511182306</c:v>
                </c:pt>
                <c:pt idx="14">
                  <c:v>0.55781260853911585</c:v>
                </c:pt>
                <c:pt idx="15">
                  <c:v>0.55488254962694661</c:v>
                </c:pt>
                <c:pt idx="16">
                  <c:v>0.55425318590213934</c:v>
                </c:pt>
                <c:pt idx="17">
                  <c:v>0.55067474925534987</c:v>
                </c:pt>
                <c:pt idx="18">
                  <c:v>0.54650877970534162</c:v>
                </c:pt>
                <c:pt idx="19">
                  <c:v>0.54645744187884671</c:v>
                </c:pt>
                <c:pt idx="20">
                  <c:v>0.54313189156256891</c:v>
                </c:pt>
                <c:pt idx="21">
                  <c:v>0.54312238455766249</c:v>
                </c:pt>
                <c:pt idx="22">
                  <c:v>0.5431014691468683</c:v>
                </c:pt>
                <c:pt idx="23">
                  <c:v>0.54307104673116768</c:v>
                </c:pt>
                <c:pt idx="24">
                  <c:v>0.5427972449898617</c:v>
                </c:pt>
                <c:pt idx="25">
                  <c:v>0.54277632957906752</c:v>
                </c:pt>
                <c:pt idx="26">
                  <c:v>0.54201576918655114</c:v>
                </c:pt>
                <c:pt idx="27">
                  <c:v>0.5394412722578833</c:v>
                </c:pt>
                <c:pt idx="28">
                  <c:v>0.46923204102371724</c:v>
                </c:pt>
                <c:pt idx="29">
                  <c:v>0.4692035200089979</c:v>
                </c:pt>
                <c:pt idx="30">
                  <c:v>0.45456083105207673</c:v>
                </c:pt>
                <c:pt idx="31">
                  <c:v>0.44310489013979915</c:v>
                </c:pt>
                <c:pt idx="32">
                  <c:v>0.43893511778782823</c:v>
                </c:pt>
                <c:pt idx="33">
                  <c:v>0.43529963911160002</c:v>
                </c:pt>
                <c:pt idx="34">
                  <c:v>0.43134092226855242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39-4F34-ADC6-3ABF55A7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27568"/>
        <c:axId val="1"/>
      </c:scatterChart>
      <c:valAx>
        <c:axId val="51352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52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11278195488722"/>
          <c:y val="0.92375366568914952"/>
          <c:w val="0.86165413533834589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9525</xdr:rowOff>
    </xdr:from>
    <xdr:to>
      <xdr:col>17</xdr:col>
      <xdr:colOff>228600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1FA8E4E-C670-189C-94C9-292C6C29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47625</xdr:rowOff>
    </xdr:from>
    <xdr:to>
      <xdr:col>18</xdr:col>
      <xdr:colOff>47625</xdr:colOff>
      <xdr:row>19</xdr:row>
      <xdr:rowOff>47625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F69C8A0-9662-A53C-A7B5-BEBCCE140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55.pdf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konkoly.hu/cgi-bin/IBVS?6033" TargetMode="External"/><Relationship Id="rId4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23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52500.06</v>
      </c>
      <c r="G1" s="3">
        <v>0.46042139999999998</v>
      </c>
      <c r="H1" s="3" t="s">
        <v>37</v>
      </c>
    </row>
    <row r="2" spans="1:8" x14ac:dyDescent="0.2">
      <c r="A2" t="s">
        <v>23</v>
      </c>
      <c r="B2" t="str">
        <f>H1</f>
        <v>EW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f>F1</f>
        <v>52500.06</v>
      </c>
      <c r="D4" s="9">
        <f>G1</f>
        <v>0.46042139999999998</v>
      </c>
      <c r="E4" s="31" t="s">
        <v>33</v>
      </c>
    </row>
    <row r="5" spans="1:8" ht="13.5" thickTop="1" x14ac:dyDescent="0.2">
      <c r="A5" s="11" t="s">
        <v>25</v>
      </c>
      <c r="B5" s="12"/>
      <c r="C5" s="13">
        <v>-9.5</v>
      </c>
      <c r="D5" s="12" t="s">
        <v>26</v>
      </c>
      <c r="E5" s="12"/>
    </row>
    <row r="6" spans="1:8" x14ac:dyDescent="0.2">
      <c r="A6" s="5" t="s">
        <v>1</v>
      </c>
    </row>
    <row r="7" spans="1:8" x14ac:dyDescent="0.2">
      <c r="A7" t="s">
        <v>2</v>
      </c>
      <c r="C7">
        <f>C4</f>
        <v>52500.06</v>
      </c>
    </row>
    <row r="8" spans="1:8" x14ac:dyDescent="0.2">
      <c r="A8" t="s">
        <v>3</v>
      </c>
      <c r="C8">
        <f>D4</f>
        <v>0.46042139999999998</v>
      </c>
      <c r="D8" s="30"/>
    </row>
    <row r="9" spans="1:8" x14ac:dyDescent="0.2">
      <c r="A9" s="27" t="s">
        <v>31</v>
      </c>
      <c r="B9" s="28">
        <v>49</v>
      </c>
      <c r="C9" s="25" t="str">
        <f>"F"&amp;B9</f>
        <v>F49</v>
      </c>
      <c r="D9" s="26" t="str">
        <f>"G"&amp;B9</f>
        <v>G49</v>
      </c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15</v>
      </c>
      <c r="B11" s="12"/>
      <c r="C11" s="24">
        <f ca="1">INTERCEPT(INDIRECT($D$9):G975,INDIRECT($C$9):F975)</f>
        <v>3.8085104012669513E-2</v>
      </c>
      <c r="D11" s="3"/>
      <c r="E11" s="12"/>
    </row>
    <row r="12" spans="1:8" x14ac:dyDescent="0.2">
      <c r="A12" s="12" t="s">
        <v>16</v>
      </c>
      <c r="B12" s="12"/>
      <c r="C12" s="24">
        <f ca="1">SLOPE(INDIRECT($D$9):G975,INDIRECT($C$9):F975)</f>
        <v>8.5189094030368548E-5</v>
      </c>
      <c r="D12" s="3"/>
      <c r="E12" s="12"/>
    </row>
    <row r="13" spans="1:8" x14ac:dyDescent="0.2">
      <c r="A13" s="12" t="s">
        <v>18</v>
      </c>
      <c r="B13" s="12"/>
      <c r="C13" s="3" t="s">
        <v>13</v>
      </c>
      <c r="F13">
        <v>2</v>
      </c>
    </row>
    <row r="14" spans="1:8" x14ac:dyDescent="0.2">
      <c r="A14" s="12"/>
      <c r="B14" s="12"/>
      <c r="C14" s="12"/>
    </row>
    <row r="15" spans="1:8" x14ac:dyDescent="0.2">
      <c r="A15" s="14" t="s">
        <v>17</v>
      </c>
      <c r="B15" s="12"/>
      <c r="C15" s="15">
        <f ca="1">(C7+C11)+(C8+C12)*INT(MAX(F21:F3516))</f>
        <v>59105.604599068778</v>
      </c>
      <c r="E15" s="16" t="s">
        <v>40</v>
      </c>
      <c r="F15" s="13">
        <v>1</v>
      </c>
    </row>
    <row r="16" spans="1:8" x14ac:dyDescent="0.2">
      <c r="A16" s="18" t="s">
        <v>4</v>
      </c>
      <c r="B16" s="12"/>
      <c r="C16" s="19">
        <f ca="1">+C8+C12</f>
        <v>0.46050658909403036</v>
      </c>
      <c r="E16" s="16" t="s">
        <v>27</v>
      </c>
      <c r="F16" s="17">
        <f ca="1">NOW()+15018.5+$C$5/24</f>
        <v>60320.805651041665</v>
      </c>
    </row>
    <row r="17" spans="1:21" ht="13.5" thickBot="1" x14ac:dyDescent="0.25">
      <c r="A17" s="16" t="s">
        <v>24</v>
      </c>
      <c r="B17" s="12"/>
      <c r="C17" s="12">
        <f>COUNT(C21:C2174)</f>
        <v>37</v>
      </c>
      <c r="E17" s="16" t="s">
        <v>41</v>
      </c>
      <c r="F17" s="17">
        <f ca="1">ROUND(2*(F16-$C$7)/$C$8,0)/2+F15</f>
        <v>16987</v>
      </c>
    </row>
    <row r="18" spans="1:21" ht="14.25" thickTop="1" thickBot="1" x14ac:dyDescent="0.25">
      <c r="A18" s="18" t="s">
        <v>5</v>
      </c>
      <c r="B18" s="12"/>
      <c r="C18" s="21">
        <f ca="1">+C15</f>
        <v>59105.604599068778</v>
      </c>
      <c r="D18" s="22">
        <f ca="1">+C16</f>
        <v>0.46050658909403036</v>
      </c>
      <c r="E18" s="16" t="s">
        <v>28</v>
      </c>
      <c r="F18" s="26">
        <f ca="1">ROUND(2*(F16-$C$15)/$C$16,0)/2+F15</f>
        <v>2640</v>
      </c>
    </row>
    <row r="19" spans="1:21" ht="13.5" thickTop="1" x14ac:dyDescent="0.2">
      <c r="E19" s="16" t="s">
        <v>29</v>
      </c>
      <c r="F19" s="20">
        <f ca="1">+$C$15+$C$16*F18-15018.5-$C$5/24</f>
        <v>45303.237827610355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180</v>
      </c>
      <c r="M20" s="7" t="s">
        <v>181</v>
      </c>
      <c r="N20" s="7" t="s">
        <v>182</v>
      </c>
      <c r="O20" s="7" t="s">
        <v>22</v>
      </c>
      <c r="P20" s="6" t="s">
        <v>21</v>
      </c>
      <c r="Q20" s="4" t="s">
        <v>14</v>
      </c>
      <c r="U20" s="58" t="s">
        <v>183</v>
      </c>
    </row>
    <row r="21" spans="1:21" x14ac:dyDescent="0.2">
      <c r="A21" s="26" t="s">
        <v>63</v>
      </c>
      <c r="B21" s="26" t="s">
        <v>32</v>
      </c>
      <c r="C21" s="54">
        <v>39358.341999999997</v>
      </c>
      <c r="D21" s="54" t="s">
        <v>57</v>
      </c>
      <c r="E21">
        <f t="shared" ref="E21:E55" si="0">+(C21-C$7)/C$8</f>
        <v>-28542.804483023599</v>
      </c>
      <c r="F21">
        <f>ROUND(2*E21,0)/2</f>
        <v>-28543</v>
      </c>
      <c r="G21">
        <f t="shared" ref="G21:G56" si="1">+C21-(C$7+F21*C$8)</f>
        <v>9.0020199997525197E-2</v>
      </c>
      <c r="I21">
        <f t="shared" ref="I21:I48" si="2">+G21</f>
        <v>9.0020199997525197E-2</v>
      </c>
      <c r="Q21" s="2">
        <f t="shared" ref="Q21:Q55" si="3">+C21-15018.5</f>
        <v>24339.841999999997</v>
      </c>
    </row>
    <row r="22" spans="1:21" x14ac:dyDescent="0.2">
      <c r="A22" s="26" t="s">
        <v>63</v>
      </c>
      <c r="B22" s="26" t="s">
        <v>32</v>
      </c>
      <c r="C22" s="54">
        <v>39764.237000000001</v>
      </c>
      <c r="D22" s="54" t="s">
        <v>57</v>
      </c>
      <c r="E22">
        <f t="shared" si="0"/>
        <v>-27661.231645618551</v>
      </c>
      <c r="F22">
        <f t="shared" ref="F22:F48" si="4">ROUND(2*E22,0)/2</f>
        <v>-27661</v>
      </c>
      <c r="G22">
        <f t="shared" si="1"/>
        <v>-0.10665460000018356</v>
      </c>
      <c r="I22">
        <f t="shared" si="2"/>
        <v>-0.10665460000018356</v>
      </c>
      <c r="Q22" s="2">
        <f t="shared" si="3"/>
        <v>24745.737000000001</v>
      </c>
    </row>
    <row r="23" spans="1:21" x14ac:dyDescent="0.2">
      <c r="A23" s="26" t="s">
        <v>63</v>
      </c>
      <c r="B23" s="26" t="s">
        <v>32</v>
      </c>
      <c r="C23" s="54">
        <v>41210.334000000003</v>
      </c>
      <c r="D23" s="54" t="s">
        <v>57</v>
      </c>
      <c r="E23">
        <f t="shared" si="0"/>
        <v>-24520.419771974099</v>
      </c>
      <c r="F23">
        <f t="shared" si="4"/>
        <v>-24520.5</v>
      </c>
      <c r="G23">
        <f t="shared" si="1"/>
        <v>3.6938700002792757E-2</v>
      </c>
      <c r="I23">
        <f t="shared" si="2"/>
        <v>3.6938700002792757E-2</v>
      </c>
      <c r="Q23" s="2">
        <f t="shared" si="3"/>
        <v>26191.834000000003</v>
      </c>
    </row>
    <row r="24" spans="1:21" x14ac:dyDescent="0.2">
      <c r="A24" s="26" t="s">
        <v>63</v>
      </c>
      <c r="B24" s="26" t="s">
        <v>43</v>
      </c>
      <c r="C24" s="54">
        <v>41597.326000000001</v>
      </c>
      <c r="D24" s="54" t="s">
        <v>57</v>
      </c>
      <c r="E24">
        <f t="shared" si="0"/>
        <v>-23679.902802085213</v>
      </c>
      <c r="F24">
        <f t="shared" si="4"/>
        <v>-23680</v>
      </c>
      <c r="G24">
        <f t="shared" si="1"/>
        <v>4.4752000001608394E-2</v>
      </c>
      <c r="I24">
        <f t="shared" si="2"/>
        <v>4.4752000001608394E-2</v>
      </c>
      <c r="Q24" s="2">
        <f t="shared" si="3"/>
        <v>26578.826000000001</v>
      </c>
    </row>
    <row r="25" spans="1:21" x14ac:dyDescent="0.2">
      <c r="A25" s="26" t="s">
        <v>63</v>
      </c>
      <c r="B25" s="26" t="s">
        <v>43</v>
      </c>
      <c r="C25" s="54">
        <v>42305.415999999997</v>
      </c>
      <c r="D25" s="54" t="s">
        <v>57</v>
      </c>
      <c r="E25">
        <f t="shared" si="0"/>
        <v>-22141.985581035115</v>
      </c>
      <c r="F25">
        <f t="shared" si="4"/>
        <v>-22142</v>
      </c>
      <c r="G25">
        <f t="shared" si="1"/>
        <v>6.6387999977450818E-3</v>
      </c>
      <c r="I25">
        <f t="shared" si="2"/>
        <v>6.6387999977450818E-3</v>
      </c>
      <c r="Q25" s="2">
        <f t="shared" si="3"/>
        <v>27286.915999999997</v>
      </c>
    </row>
    <row r="26" spans="1:21" x14ac:dyDescent="0.2">
      <c r="A26" s="26" t="s">
        <v>63</v>
      </c>
      <c r="B26" s="26" t="s">
        <v>32</v>
      </c>
      <c r="C26" s="54">
        <v>42309.353000000003</v>
      </c>
      <c r="D26" s="54" t="s">
        <v>57</v>
      </c>
      <c r="E26">
        <f t="shared" si="0"/>
        <v>-22133.434718716366</v>
      </c>
      <c r="F26">
        <f t="shared" si="4"/>
        <v>-22133.5</v>
      </c>
      <c r="G26">
        <f t="shared" si="1"/>
        <v>3.005690000281902E-2</v>
      </c>
      <c r="I26">
        <f t="shared" si="2"/>
        <v>3.005690000281902E-2</v>
      </c>
      <c r="Q26" s="2">
        <f t="shared" si="3"/>
        <v>27290.853000000003</v>
      </c>
    </row>
    <row r="27" spans="1:21" x14ac:dyDescent="0.2">
      <c r="A27" s="26" t="s">
        <v>63</v>
      </c>
      <c r="B27" s="26" t="s">
        <v>43</v>
      </c>
      <c r="C27" s="54">
        <v>42334.21</v>
      </c>
      <c r="D27" s="54" t="s">
        <v>57</v>
      </c>
      <c r="E27">
        <f t="shared" si="0"/>
        <v>-22079.447219438538</v>
      </c>
      <c r="F27">
        <f t="shared" si="4"/>
        <v>-22079.5</v>
      </c>
      <c r="G27">
        <f t="shared" si="1"/>
        <v>2.430129999993369E-2</v>
      </c>
      <c r="I27">
        <f t="shared" si="2"/>
        <v>2.430129999993369E-2</v>
      </c>
      <c r="Q27" s="2">
        <f t="shared" si="3"/>
        <v>27315.71</v>
      </c>
    </row>
    <row r="28" spans="1:21" x14ac:dyDescent="0.2">
      <c r="A28" s="26" t="s">
        <v>63</v>
      </c>
      <c r="B28" s="26" t="s">
        <v>32</v>
      </c>
      <c r="C28" s="54">
        <v>42369.2</v>
      </c>
      <c r="D28" s="54" t="s">
        <v>57</v>
      </c>
      <c r="E28">
        <f t="shared" si="0"/>
        <v>-22003.451620624066</v>
      </c>
      <c r="F28">
        <f t="shared" si="4"/>
        <v>-22003.5</v>
      </c>
      <c r="G28">
        <f t="shared" si="1"/>
        <v>2.2274899994954467E-2</v>
      </c>
      <c r="I28">
        <f t="shared" si="2"/>
        <v>2.2274899994954467E-2</v>
      </c>
      <c r="Q28" s="2">
        <f t="shared" si="3"/>
        <v>27350.699999999997</v>
      </c>
    </row>
    <row r="29" spans="1:21" x14ac:dyDescent="0.2">
      <c r="A29" s="26" t="s">
        <v>63</v>
      </c>
      <c r="B29" s="26" t="s">
        <v>32</v>
      </c>
      <c r="C29" s="54">
        <v>42655.364000000001</v>
      </c>
      <c r="D29" s="54" t="s">
        <v>57</v>
      </c>
      <c r="E29">
        <f t="shared" si="0"/>
        <v>-21381.925340568436</v>
      </c>
      <c r="F29">
        <f t="shared" si="4"/>
        <v>-21382</v>
      </c>
      <c r="G29">
        <f t="shared" si="1"/>
        <v>3.4374800001387484E-2</v>
      </c>
      <c r="I29">
        <f t="shared" si="2"/>
        <v>3.4374800001387484E-2</v>
      </c>
      <c r="Q29" s="2">
        <f t="shared" si="3"/>
        <v>27636.864000000001</v>
      </c>
    </row>
    <row r="30" spans="1:21" x14ac:dyDescent="0.2">
      <c r="A30" s="26" t="s">
        <v>63</v>
      </c>
      <c r="B30" s="26" t="s">
        <v>43</v>
      </c>
      <c r="C30" s="54">
        <v>42660.442999999999</v>
      </c>
      <c r="D30" s="54" t="s">
        <v>57</v>
      </c>
      <c r="E30">
        <f t="shared" si="0"/>
        <v>-21370.894141757959</v>
      </c>
      <c r="F30">
        <f t="shared" si="4"/>
        <v>-21371</v>
      </c>
      <c r="G30">
        <f t="shared" si="1"/>
        <v>4.8739400001068134E-2</v>
      </c>
      <c r="I30">
        <f t="shared" si="2"/>
        <v>4.8739400001068134E-2</v>
      </c>
      <c r="Q30" s="2">
        <f t="shared" si="3"/>
        <v>27641.942999999999</v>
      </c>
    </row>
    <row r="31" spans="1:21" x14ac:dyDescent="0.2">
      <c r="A31" s="26" t="s">
        <v>63</v>
      </c>
      <c r="B31" s="26" t="s">
        <v>43</v>
      </c>
      <c r="C31" s="54">
        <v>43046.417000000001</v>
      </c>
      <c r="D31" s="54" t="s">
        <v>57</v>
      </c>
      <c r="E31">
        <f t="shared" si="0"/>
        <v>-20532.588189862585</v>
      </c>
      <c r="F31">
        <f t="shared" si="4"/>
        <v>-20532.5</v>
      </c>
      <c r="G31">
        <f t="shared" si="1"/>
        <v>-4.0604499998153187E-2</v>
      </c>
      <c r="I31">
        <f t="shared" si="2"/>
        <v>-4.0604499998153187E-2</v>
      </c>
      <c r="Q31" s="2">
        <f t="shared" si="3"/>
        <v>28027.917000000001</v>
      </c>
    </row>
    <row r="32" spans="1:21" x14ac:dyDescent="0.2">
      <c r="A32" s="26" t="s">
        <v>63</v>
      </c>
      <c r="B32" s="26" t="s">
        <v>32</v>
      </c>
      <c r="C32" s="54">
        <v>43047.37</v>
      </c>
      <c r="D32" s="54" t="s">
        <v>57</v>
      </c>
      <c r="E32">
        <f t="shared" si="0"/>
        <v>-20530.518346888297</v>
      </c>
      <c r="F32">
        <f t="shared" si="4"/>
        <v>-20530.5</v>
      </c>
      <c r="G32">
        <f t="shared" si="1"/>
        <v>-8.4472999951685779E-3</v>
      </c>
      <c r="I32">
        <f t="shared" si="2"/>
        <v>-8.4472999951685779E-3</v>
      </c>
      <c r="Q32" s="2">
        <f t="shared" si="3"/>
        <v>28028.870000000003</v>
      </c>
    </row>
    <row r="33" spans="1:17" x14ac:dyDescent="0.2">
      <c r="A33" s="26" t="s">
        <v>63</v>
      </c>
      <c r="B33" s="26" t="s">
        <v>32</v>
      </c>
      <c r="C33" s="54">
        <v>43396.368000000002</v>
      </c>
      <c r="D33" s="54" t="s">
        <v>57</v>
      </c>
      <c r="E33">
        <f t="shared" si="0"/>
        <v>-19772.521433625796</v>
      </c>
      <c r="F33">
        <f t="shared" si="4"/>
        <v>-19772.5</v>
      </c>
      <c r="G33">
        <f t="shared" si="1"/>
        <v>-9.8684999975375831E-3</v>
      </c>
      <c r="I33">
        <f t="shared" si="2"/>
        <v>-9.8684999975375831E-3</v>
      </c>
      <c r="Q33" s="2">
        <f t="shared" si="3"/>
        <v>28377.868000000002</v>
      </c>
    </row>
    <row r="34" spans="1:17" x14ac:dyDescent="0.2">
      <c r="A34" s="26" t="s">
        <v>63</v>
      </c>
      <c r="B34" s="26" t="s">
        <v>32</v>
      </c>
      <c r="C34" s="54">
        <v>43754.394999999997</v>
      </c>
      <c r="D34" s="54" t="s">
        <v>57</v>
      </c>
      <c r="E34">
        <f t="shared" si="0"/>
        <v>-18994.914224230241</v>
      </c>
      <c r="F34">
        <f t="shared" si="4"/>
        <v>-18995</v>
      </c>
      <c r="G34">
        <f t="shared" si="1"/>
        <v>3.9492999996582512E-2</v>
      </c>
      <c r="I34">
        <f t="shared" si="2"/>
        <v>3.9492999996582512E-2</v>
      </c>
      <c r="Q34" s="2">
        <f t="shared" si="3"/>
        <v>28735.894999999997</v>
      </c>
    </row>
    <row r="35" spans="1:17" x14ac:dyDescent="0.2">
      <c r="A35" s="26" t="s">
        <v>63</v>
      </c>
      <c r="B35" s="26" t="s">
        <v>32</v>
      </c>
      <c r="C35" s="54">
        <v>43787.330999999998</v>
      </c>
      <c r="D35" s="54" t="s">
        <v>57</v>
      </c>
      <c r="E35">
        <f t="shared" si="0"/>
        <v>-18923.379756023503</v>
      </c>
      <c r="F35">
        <f t="shared" si="4"/>
        <v>-18923.5</v>
      </c>
      <c r="G35">
        <f t="shared" si="1"/>
        <v>5.5362899998726789E-2</v>
      </c>
      <c r="I35">
        <f t="shared" si="2"/>
        <v>5.5362899998726789E-2</v>
      </c>
      <c r="Q35" s="2">
        <f t="shared" si="3"/>
        <v>28768.830999999998</v>
      </c>
    </row>
    <row r="36" spans="1:17" x14ac:dyDescent="0.2">
      <c r="A36" s="26" t="s">
        <v>63</v>
      </c>
      <c r="B36" s="26" t="s">
        <v>32</v>
      </c>
      <c r="C36" s="54">
        <v>44075.428999999996</v>
      </c>
      <c r="D36" s="54" t="s">
        <v>57</v>
      </c>
      <c r="E36">
        <f t="shared" si="0"/>
        <v>-18297.652976164882</v>
      </c>
      <c r="F36">
        <f t="shared" si="4"/>
        <v>-18297.5</v>
      </c>
      <c r="G36">
        <f t="shared" si="1"/>
        <v>-7.0433499997307081E-2</v>
      </c>
      <c r="I36">
        <f t="shared" si="2"/>
        <v>-7.0433499997307081E-2</v>
      </c>
      <c r="Q36" s="2">
        <f t="shared" si="3"/>
        <v>29056.928999999996</v>
      </c>
    </row>
    <row r="37" spans="1:17" x14ac:dyDescent="0.2">
      <c r="A37" s="26" t="s">
        <v>63</v>
      </c>
      <c r="B37" s="26" t="s">
        <v>32</v>
      </c>
      <c r="C37" s="54">
        <v>44137.392999999996</v>
      </c>
      <c r="D37" s="54" t="s">
        <v>57</v>
      </c>
      <c r="E37">
        <f t="shared" si="0"/>
        <v>-18163.071916292338</v>
      </c>
      <c r="F37">
        <f t="shared" si="4"/>
        <v>-18163</v>
      </c>
      <c r="G37">
        <f t="shared" si="1"/>
        <v>-3.3111800003098324E-2</v>
      </c>
      <c r="I37">
        <f t="shared" si="2"/>
        <v>-3.3111800003098324E-2</v>
      </c>
      <c r="Q37" s="2">
        <f t="shared" si="3"/>
        <v>29118.892999999996</v>
      </c>
    </row>
    <row r="38" spans="1:17" x14ac:dyDescent="0.2">
      <c r="A38" s="26" t="s">
        <v>63</v>
      </c>
      <c r="B38" s="26" t="s">
        <v>32</v>
      </c>
      <c r="C38" s="54">
        <v>44489.398999999998</v>
      </c>
      <c r="D38" s="54" t="s">
        <v>57</v>
      </c>
      <c r="E38">
        <f t="shared" si="0"/>
        <v>-17398.541857524433</v>
      </c>
      <c r="F38">
        <f t="shared" si="4"/>
        <v>-17398.5</v>
      </c>
      <c r="G38">
        <f t="shared" si="1"/>
        <v>-1.9272099998488557E-2</v>
      </c>
      <c r="I38">
        <f t="shared" si="2"/>
        <v>-1.9272099998488557E-2</v>
      </c>
      <c r="Q38" s="2">
        <f t="shared" si="3"/>
        <v>29470.898999999998</v>
      </c>
    </row>
    <row r="39" spans="1:17" x14ac:dyDescent="0.2">
      <c r="A39" s="26" t="s">
        <v>63</v>
      </c>
      <c r="B39" s="26" t="s">
        <v>43</v>
      </c>
      <c r="C39" s="54">
        <v>44899.264000000003</v>
      </c>
      <c r="D39" s="54" t="s">
        <v>57</v>
      </c>
      <c r="E39">
        <f t="shared" si="0"/>
        <v>-16508.346484329344</v>
      </c>
      <c r="F39">
        <f t="shared" si="4"/>
        <v>-16508.5</v>
      </c>
      <c r="G39">
        <f t="shared" si="1"/>
        <v>7.0681900004274212E-2</v>
      </c>
      <c r="I39">
        <f t="shared" si="2"/>
        <v>7.0681900004274212E-2</v>
      </c>
      <c r="Q39" s="2">
        <f t="shared" si="3"/>
        <v>29880.764000000003</v>
      </c>
    </row>
    <row r="40" spans="1:17" x14ac:dyDescent="0.2">
      <c r="A40" s="26" t="s">
        <v>63</v>
      </c>
      <c r="B40" s="26" t="s">
        <v>32</v>
      </c>
      <c r="C40" s="54">
        <v>44904.245000000003</v>
      </c>
      <c r="D40" s="54" t="s">
        <v>57</v>
      </c>
      <c r="E40">
        <f t="shared" si="0"/>
        <v>-16497.528134009401</v>
      </c>
      <c r="F40">
        <f t="shared" si="4"/>
        <v>-16497.5</v>
      </c>
      <c r="G40">
        <f t="shared" si="1"/>
        <v>-1.2953499994182494E-2</v>
      </c>
      <c r="I40">
        <f t="shared" si="2"/>
        <v>-1.2953499994182494E-2</v>
      </c>
      <c r="Q40" s="2">
        <f t="shared" si="3"/>
        <v>29885.745000000003</v>
      </c>
    </row>
    <row r="41" spans="1:17" x14ac:dyDescent="0.2">
      <c r="A41" s="26" t="s">
        <v>63</v>
      </c>
      <c r="B41" s="26" t="s">
        <v>43</v>
      </c>
      <c r="C41" s="54">
        <v>45231.396000000001</v>
      </c>
      <c r="D41" s="54" t="s">
        <v>57</v>
      </c>
      <c r="E41">
        <f t="shared" si="0"/>
        <v>-15786.981230672591</v>
      </c>
      <c r="F41">
        <f t="shared" si="4"/>
        <v>-15787</v>
      </c>
      <c r="G41">
        <f t="shared" si="1"/>
        <v>8.6418000064441003E-3</v>
      </c>
      <c r="I41">
        <f t="shared" si="2"/>
        <v>8.6418000064441003E-3</v>
      </c>
      <c r="Q41" s="2">
        <f t="shared" si="3"/>
        <v>30212.896000000001</v>
      </c>
    </row>
    <row r="42" spans="1:17" x14ac:dyDescent="0.2">
      <c r="A42" s="26" t="s">
        <v>63</v>
      </c>
      <c r="B42" s="26" t="s">
        <v>32</v>
      </c>
      <c r="C42" s="54">
        <v>45232.362000000001</v>
      </c>
      <c r="D42" s="54" t="s">
        <v>57</v>
      </c>
      <c r="E42">
        <f t="shared" si="0"/>
        <v>-15784.88315269446</v>
      </c>
      <c r="F42">
        <f t="shared" si="4"/>
        <v>-15785</v>
      </c>
      <c r="G42">
        <f t="shared" si="1"/>
        <v>5.3799000001163222E-2</v>
      </c>
      <c r="I42">
        <f t="shared" si="2"/>
        <v>5.3799000001163222E-2</v>
      </c>
      <c r="Q42" s="2">
        <f t="shared" si="3"/>
        <v>30213.862000000001</v>
      </c>
    </row>
    <row r="43" spans="1:17" x14ac:dyDescent="0.2">
      <c r="A43" s="26" t="s">
        <v>63</v>
      </c>
      <c r="B43" s="26" t="s">
        <v>43</v>
      </c>
      <c r="C43" s="54">
        <v>45234.372000000003</v>
      </c>
      <c r="D43" s="54" t="s">
        <v>57</v>
      </c>
      <c r="E43">
        <f t="shared" si="0"/>
        <v>-15780.517586715116</v>
      </c>
      <c r="F43">
        <f t="shared" si="4"/>
        <v>-15780.5</v>
      </c>
      <c r="G43">
        <f t="shared" si="1"/>
        <v>-8.0972999930963852E-3</v>
      </c>
      <c r="I43">
        <f t="shared" si="2"/>
        <v>-8.0972999930963852E-3</v>
      </c>
      <c r="Q43" s="2">
        <f t="shared" si="3"/>
        <v>30215.872000000003</v>
      </c>
    </row>
    <row r="44" spans="1:17" x14ac:dyDescent="0.2">
      <c r="A44" s="26" t="s">
        <v>63</v>
      </c>
      <c r="B44" s="26" t="s">
        <v>43</v>
      </c>
      <c r="C44" s="54">
        <v>45237.373</v>
      </c>
      <c r="D44" s="54" t="s">
        <v>57</v>
      </c>
      <c r="E44">
        <f t="shared" si="0"/>
        <v>-15773.999644673333</v>
      </c>
      <c r="F44">
        <f t="shared" si="4"/>
        <v>-15774</v>
      </c>
      <c r="G44">
        <f t="shared" si="1"/>
        <v>1.6360000154236332E-4</v>
      </c>
      <c r="I44">
        <f t="shared" si="2"/>
        <v>1.6360000154236332E-4</v>
      </c>
      <c r="Q44" s="2">
        <f t="shared" si="3"/>
        <v>30218.873</v>
      </c>
    </row>
    <row r="45" spans="1:17" x14ac:dyDescent="0.2">
      <c r="A45" s="26" t="s">
        <v>63</v>
      </c>
      <c r="B45" s="26" t="s">
        <v>43</v>
      </c>
      <c r="C45" s="54">
        <v>45264.326999999997</v>
      </c>
      <c r="D45" s="54" t="s">
        <v>57</v>
      </c>
      <c r="E45">
        <f t="shared" si="0"/>
        <v>-15715.457622082728</v>
      </c>
      <c r="F45">
        <f t="shared" si="4"/>
        <v>-15715.5</v>
      </c>
      <c r="G45">
        <f t="shared" si="1"/>
        <v>1.9511699996655807E-2</v>
      </c>
      <c r="I45">
        <f t="shared" si="2"/>
        <v>1.9511699996655807E-2</v>
      </c>
      <c r="Q45" s="2">
        <f t="shared" si="3"/>
        <v>30245.826999999997</v>
      </c>
    </row>
    <row r="46" spans="1:17" x14ac:dyDescent="0.2">
      <c r="A46" s="26" t="s">
        <v>63</v>
      </c>
      <c r="B46" s="26" t="s">
        <v>32</v>
      </c>
      <c r="C46" s="54">
        <v>45266.364999999998</v>
      </c>
      <c r="D46" s="54" t="s">
        <v>57</v>
      </c>
      <c r="E46">
        <f t="shared" si="0"/>
        <v>-15711.031242248948</v>
      </c>
      <c r="F46">
        <f t="shared" si="4"/>
        <v>-15711</v>
      </c>
      <c r="G46">
        <f t="shared" si="1"/>
        <v>-1.4384599999175407E-2</v>
      </c>
      <c r="I46">
        <f t="shared" si="2"/>
        <v>-1.4384599999175407E-2</v>
      </c>
      <c r="Q46" s="2">
        <f t="shared" si="3"/>
        <v>30247.864999999998</v>
      </c>
    </row>
    <row r="47" spans="1:17" x14ac:dyDescent="0.2">
      <c r="A47" s="26" t="s">
        <v>63</v>
      </c>
      <c r="B47" s="26" t="s">
        <v>32</v>
      </c>
      <c r="C47" s="54">
        <v>45341.165999999997</v>
      </c>
      <c r="D47" s="54" t="s">
        <v>57</v>
      </c>
      <c r="E47">
        <f t="shared" si="0"/>
        <v>-15548.569202039698</v>
      </c>
      <c r="F47">
        <f t="shared" si="4"/>
        <v>-15548.5</v>
      </c>
      <c r="G47">
        <f t="shared" si="1"/>
        <v>-3.1862100004218519E-2</v>
      </c>
      <c r="I47">
        <f t="shared" si="2"/>
        <v>-3.1862100004218519E-2</v>
      </c>
      <c r="Q47" s="2">
        <f t="shared" si="3"/>
        <v>30322.665999999997</v>
      </c>
    </row>
    <row r="48" spans="1:17" x14ac:dyDescent="0.2">
      <c r="A48" s="26" t="s">
        <v>63</v>
      </c>
      <c r="B48" s="26" t="s">
        <v>32</v>
      </c>
      <c r="C48" s="54">
        <v>45594.440999999999</v>
      </c>
      <c r="D48" s="54" t="s">
        <v>57</v>
      </c>
      <c r="E48">
        <f t="shared" si="0"/>
        <v>-14998.475309792288</v>
      </c>
      <c r="F48">
        <f t="shared" si="4"/>
        <v>-14998.5</v>
      </c>
      <c r="G48">
        <f t="shared" si="1"/>
        <v>1.1367899998731446E-2</v>
      </c>
      <c r="I48">
        <f t="shared" si="2"/>
        <v>1.1367899998731446E-2</v>
      </c>
      <c r="Q48" s="2">
        <f t="shared" si="3"/>
        <v>30575.940999999999</v>
      </c>
    </row>
    <row r="49" spans="1:17" x14ac:dyDescent="0.2">
      <c r="A49" s="33" t="s">
        <v>34</v>
      </c>
      <c r="B49" s="32" t="s">
        <v>32</v>
      </c>
      <c r="C49" s="33">
        <v>52500.06</v>
      </c>
      <c r="D49" s="29"/>
      <c r="E49">
        <f t="shared" si="0"/>
        <v>0</v>
      </c>
      <c r="F49">
        <f>ROUND(2*E49,0)/2</f>
        <v>0</v>
      </c>
      <c r="G49">
        <f t="shared" si="1"/>
        <v>0</v>
      </c>
      <c r="K49" s="55">
        <f>+G49</f>
        <v>0</v>
      </c>
      <c r="O49">
        <f t="shared" ref="O49:O55" ca="1" si="5">+C$11+C$12*$F49</f>
        <v>3.8085104012669513E-2</v>
      </c>
      <c r="Q49" s="2">
        <f t="shared" si="3"/>
        <v>37481.56</v>
      </c>
    </row>
    <row r="50" spans="1:17" x14ac:dyDescent="0.2">
      <c r="A50" s="26" t="s">
        <v>147</v>
      </c>
      <c r="B50" s="26" t="s">
        <v>32</v>
      </c>
      <c r="C50" s="54">
        <v>52503.512999999999</v>
      </c>
      <c r="D50" s="54" t="s">
        <v>57</v>
      </c>
      <c r="E50">
        <f t="shared" si="0"/>
        <v>7.4996514063015729</v>
      </c>
      <c r="F50">
        <f>ROUND(2*E50,0)/2</f>
        <v>7.5</v>
      </c>
      <c r="G50">
        <f t="shared" si="1"/>
        <v>-1.6049999976530671E-4</v>
      </c>
      <c r="I50">
        <f>+G50</f>
        <v>-1.6049999976530671E-4</v>
      </c>
      <c r="O50">
        <f t="shared" ca="1" si="5"/>
        <v>3.872402221789728E-2</v>
      </c>
      <c r="Q50" s="2">
        <f t="shared" si="3"/>
        <v>37485.012999999999</v>
      </c>
    </row>
    <row r="51" spans="1:17" x14ac:dyDescent="0.2">
      <c r="A51" s="33" t="s">
        <v>38</v>
      </c>
      <c r="B51" s="34"/>
      <c r="C51" s="33">
        <v>53943.487999999998</v>
      </c>
      <c r="D51" s="33">
        <v>2E-3</v>
      </c>
      <c r="E51">
        <f t="shared" si="0"/>
        <v>3135.0150101624295</v>
      </c>
      <c r="F51" s="56">
        <f>ROUND(2*E51,0)/2-0.5</f>
        <v>3134.5</v>
      </c>
      <c r="G51">
        <f t="shared" si="1"/>
        <v>0.23712170000362676</v>
      </c>
      <c r="K51">
        <f>+G51</f>
        <v>0.23712170000362676</v>
      </c>
      <c r="O51">
        <f t="shared" ca="1" si="5"/>
        <v>0.30511031925085974</v>
      </c>
      <c r="Q51" s="2">
        <f t="shared" si="3"/>
        <v>38924.987999999998</v>
      </c>
    </row>
    <row r="52" spans="1:17" x14ac:dyDescent="0.2">
      <c r="A52" s="36" t="s">
        <v>45</v>
      </c>
      <c r="B52" s="37" t="s">
        <v>32</v>
      </c>
      <c r="C52" s="38">
        <v>55070.737999999998</v>
      </c>
      <c r="D52" s="36" t="s">
        <v>46</v>
      </c>
      <c r="E52">
        <f t="shared" si="0"/>
        <v>5583.3156321578454</v>
      </c>
      <c r="F52" s="57">
        <f>ROUND(2*E52,0)/2-1.5</f>
        <v>5582</v>
      </c>
      <c r="G52">
        <f t="shared" si="1"/>
        <v>0.60574520000227494</v>
      </c>
      <c r="I52">
        <f>+G52</f>
        <v>0.60574520000227494</v>
      </c>
      <c r="O52">
        <f t="shared" ca="1" si="5"/>
        <v>0.51361062689018677</v>
      </c>
      <c r="Q52" s="2">
        <f t="shared" si="3"/>
        <v>40052.237999999998</v>
      </c>
    </row>
    <row r="53" spans="1:17" x14ac:dyDescent="0.2">
      <c r="A53" s="35" t="s">
        <v>39</v>
      </c>
      <c r="B53" s="32" t="s">
        <v>32</v>
      </c>
      <c r="C53" s="33">
        <v>55480.720800000003</v>
      </c>
      <c r="D53" s="33">
        <v>8.9999999999999998E-4</v>
      </c>
      <c r="E53">
        <f t="shared" si="0"/>
        <v>6473.7668579262499</v>
      </c>
      <c r="F53" s="57">
        <f>ROUND(2*E53,0)/2-1.5</f>
        <v>6472.5</v>
      </c>
      <c r="G53">
        <f t="shared" si="1"/>
        <v>0.58328850000543753</v>
      </c>
      <c r="K53">
        <f>+G53</f>
        <v>0.58328850000543753</v>
      </c>
      <c r="O53">
        <f t="shared" ca="1" si="5"/>
        <v>0.58947151512422991</v>
      </c>
      <c r="Q53" s="2">
        <f t="shared" si="3"/>
        <v>40462.220800000003</v>
      </c>
    </row>
    <row r="54" spans="1:17" x14ac:dyDescent="0.2">
      <c r="A54" s="39" t="s">
        <v>42</v>
      </c>
      <c r="B54" s="34" t="s">
        <v>43</v>
      </c>
      <c r="C54" s="40">
        <v>55838.328099999999</v>
      </c>
      <c r="D54" s="40">
        <v>2.9999999999999997E-4</v>
      </c>
      <c r="E54">
        <f t="shared" si="0"/>
        <v>7250.4625110822417</v>
      </c>
      <c r="F54" s="57">
        <f>ROUND(2*E54,0)/2-1.5</f>
        <v>7249</v>
      </c>
      <c r="G54">
        <f t="shared" si="1"/>
        <v>0.67337140000017826</v>
      </c>
      <c r="K54">
        <f>+G54</f>
        <v>0.67337140000017826</v>
      </c>
      <c r="O54">
        <f t="shared" ca="1" si="5"/>
        <v>0.65562084663881115</v>
      </c>
      <c r="Q54" s="2">
        <f t="shared" si="3"/>
        <v>40819.828099999999</v>
      </c>
    </row>
    <row r="55" spans="1:17" x14ac:dyDescent="0.2">
      <c r="A55" s="35" t="s">
        <v>44</v>
      </c>
      <c r="B55" s="32" t="s">
        <v>32</v>
      </c>
      <c r="C55" s="33">
        <v>56227.731599999999</v>
      </c>
      <c r="D55" s="33">
        <v>5.0000000000000001E-4</v>
      </c>
      <c r="E55">
        <f t="shared" si="0"/>
        <v>8096.217074184653</v>
      </c>
      <c r="F55" s="57">
        <f>ROUND(2*E55,0)/2-1.5</f>
        <v>8094.5</v>
      </c>
      <c r="G55">
        <f t="shared" si="1"/>
        <v>0.79057769999781158</v>
      </c>
      <c r="K55">
        <f>+G55</f>
        <v>0.79057769999781158</v>
      </c>
      <c r="O55">
        <f t="shared" ca="1" si="5"/>
        <v>0.72764822564148768</v>
      </c>
      <c r="Q55" s="2">
        <f t="shared" si="3"/>
        <v>41209.231599999999</v>
      </c>
    </row>
    <row r="56" spans="1:17" x14ac:dyDescent="0.2">
      <c r="A56" s="59" t="s">
        <v>0</v>
      </c>
      <c r="B56" s="60" t="s">
        <v>32</v>
      </c>
      <c r="C56" s="61">
        <v>57353.301299999999</v>
      </c>
      <c r="D56" s="66">
        <v>1.1999999999999999E-3</v>
      </c>
      <c r="E56">
        <f>+(C56-C$7)/C$8</f>
        <v>10540.868213336742</v>
      </c>
      <c r="F56" s="62">
        <f>ROUND(2*E56,0)/2-2.5</f>
        <v>10538.5</v>
      </c>
      <c r="G56">
        <f t="shared" si="1"/>
        <v>1.0903761000008672</v>
      </c>
      <c r="K56">
        <f>+G56</f>
        <v>1.0903761000008672</v>
      </c>
      <c r="O56">
        <f ca="1">+C$11+C$12*$F56</f>
        <v>0.93585037145170846</v>
      </c>
      <c r="Q56" s="2">
        <f>+C56-15018.5</f>
        <v>42334.801299999999</v>
      </c>
    </row>
    <row r="57" spans="1:17" x14ac:dyDescent="0.2">
      <c r="A57" s="63" t="s">
        <v>184</v>
      </c>
      <c r="B57" s="64" t="s">
        <v>32</v>
      </c>
      <c r="C57" s="65">
        <v>59105.428399999997</v>
      </c>
      <c r="D57" s="65">
        <v>5.0000000000000001E-4</v>
      </c>
      <c r="E57">
        <f>+(C57-C$7)/C$8</f>
        <v>14346.354013953303</v>
      </c>
      <c r="F57" s="62">
        <f>ROUND(2*E57,0)/2-2.5</f>
        <v>14344</v>
      </c>
      <c r="G57">
        <f>+C57-(C$7+F57*C$8)</f>
        <v>1.0838384000016958</v>
      </c>
      <c r="K57">
        <f>+G57</f>
        <v>1.0838384000016958</v>
      </c>
      <c r="O57">
        <f ca="1">+C$11+C$12*$F57</f>
        <v>1.2600374687842759</v>
      </c>
      <c r="Q57" s="2">
        <f>+C57-15018.5</f>
        <v>44086.928399999997</v>
      </c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hyperlinks>
    <hyperlink ref="H3344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923"/>
  <sheetViews>
    <sheetView workbookViewId="0">
      <selection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52500.06</v>
      </c>
      <c r="G1" s="3">
        <v>0.46042139999999998</v>
      </c>
      <c r="H1" s="3" t="s">
        <v>37</v>
      </c>
    </row>
    <row r="2" spans="1:8" x14ac:dyDescent="0.2">
      <c r="A2" t="s">
        <v>23</v>
      </c>
      <c r="B2" t="str">
        <f>H1</f>
        <v>EW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f>F1</f>
        <v>52500.06</v>
      </c>
      <c r="D4" s="9">
        <f>G1</f>
        <v>0.46042139999999998</v>
      </c>
    </row>
    <row r="5" spans="1:8" x14ac:dyDescent="0.2">
      <c r="C5" s="31" t="s">
        <v>33</v>
      </c>
    </row>
    <row r="6" spans="1:8" x14ac:dyDescent="0.2">
      <c r="A6" s="5" t="s">
        <v>1</v>
      </c>
    </row>
    <row r="7" spans="1:8" x14ac:dyDescent="0.2">
      <c r="A7" t="s">
        <v>2</v>
      </c>
      <c r="C7">
        <f>C4</f>
        <v>52500.06</v>
      </c>
    </row>
    <row r="8" spans="1:8" x14ac:dyDescent="0.2">
      <c r="A8" t="s">
        <v>3</v>
      </c>
      <c r="C8">
        <v>0.37406699999999998</v>
      </c>
      <c r="D8" s="30"/>
    </row>
    <row r="9" spans="1:8" x14ac:dyDescent="0.2">
      <c r="A9" s="11" t="s">
        <v>25</v>
      </c>
      <c r="B9" s="12"/>
      <c r="C9" s="13">
        <v>7</v>
      </c>
      <c r="D9" s="12" t="s">
        <v>26</v>
      </c>
      <c r="E9" s="12"/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15</v>
      </c>
      <c r="B11" s="12"/>
      <c r="C11" s="24">
        <f ca="1">INTERCEPT(INDIRECT($G$11):G975,INDIRECT($F$11):F975)</f>
        <v>0.46923204102371724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8" x14ac:dyDescent="0.2">
      <c r="A12" s="12" t="s">
        <v>16</v>
      </c>
      <c r="B12" s="12"/>
      <c r="C12" s="24">
        <f ca="1">SLOPE(INDIRECT($G$11):G975,INDIRECT($F$11):F975)</f>
        <v>-3.8028019625817786E-6</v>
      </c>
      <c r="D12" s="3"/>
      <c r="E12" s="12"/>
    </row>
    <row r="13" spans="1:8" x14ac:dyDescent="0.2">
      <c r="A13" s="12" t="s">
        <v>18</v>
      </c>
      <c r="B13" s="12"/>
      <c r="C13" s="3" t="s">
        <v>13</v>
      </c>
      <c r="D13" s="16" t="s">
        <v>40</v>
      </c>
      <c r="E13" s="13">
        <v>1</v>
      </c>
    </row>
    <row r="14" spans="1:8" x14ac:dyDescent="0.2">
      <c r="A14" s="12"/>
      <c r="B14" s="12"/>
      <c r="C14" s="12"/>
      <c r="D14" s="16" t="s">
        <v>27</v>
      </c>
      <c r="E14" s="17">
        <f ca="1">NOW()+15018.5+$C$9/24</f>
        <v>60321.493151041665</v>
      </c>
    </row>
    <row r="15" spans="1:8" x14ac:dyDescent="0.2">
      <c r="A15" s="14" t="s">
        <v>17</v>
      </c>
      <c r="B15" s="12"/>
      <c r="C15" s="15">
        <f ca="1">(C7+C11)+(C8+C12)*INT(MAX(F21:F3516))</f>
        <v>56227.694928922268</v>
      </c>
      <c r="D15" s="16" t="s">
        <v>41</v>
      </c>
      <c r="E15" s="17">
        <f ca="1">ROUND(2*(E14-$C$7)/$C$8,0)/2+E13</f>
        <v>20910</v>
      </c>
    </row>
    <row r="16" spans="1:8" x14ac:dyDescent="0.2">
      <c r="A16" s="18" t="s">
        <v>4</v>
      </c>
      <c r="B16" s="12"/>
      <c r="C16" s="19">
        <f ca="1">+C8+C12</f>
        <v>0.37406319719803738</v>
      </c>
      <c r="D16" s="16" t="s">
        <v>28</v>
      </c>
      <c r="E16" s="26">
        <f ca="1">ROUND(2*(E14-$C$15)/$C$16,0)/2+E13</f>
        <v>10945</v>
      </c>
    </row>
    <row r="17" spans="1:17" ht="13.5" thickBot="1" x14ac:dyDescent="0.25">
      <c r="A17" s="16" t="s">
        <v>24</v>
      </c>
      <c r="B17" s="12"/>
      <c r="C17" s="12">
        <f>COUNT(C21:C2174)</f>
        <v>35</v>
      </c>
      <c r="D17" s="16" t="s">
        <v>29</v>
      </c>
      <c r="E17" s="20">
        <f ca="1">+$C$15+$C$16*E16-15018.5-$C$9/24</f>
        <v>45303.024955588124</v>
      </c>
    </row>
    <row r="18" spans="1:17" ht="14.25" thickTop="1" thickBot="1" x14ac:dyDescent="0.25">
      <c r="A18" s="18" t="s">
        <v>5</v>
      </c>
      <c r="B18" s="12"/>
      <c r="C18" s="21">
        <f ca="1">+C15</f>
        <v>56227.694928922268</v>
      </c>
      <c r="D18" s="22">
        <f ca="1">+C16</f>
        <v>0.37406319719803738</v>
      </c>
      <c r="E18" s="23" t="s">
        <v>30</v>
      </c>
    </row>
    <row r="19" spans="1:17" ht="13.5" thickTop="1" x14ac:dyDescent="0.2">
      <c r="A19" s="27" t="s">
        <v>31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180</v>
      </c>
      <c r="M20" s="7" t="s">
        <v>181</v>
      </c>
      <c r="N20" s="7" t="s">
        <v>182</v>
      </c>
      <c r="O20" s="7" t="s">
        <v>22</v>
      </c>
      <c r="P20" s="6" t="s">
        <v>21</v>
      </c>
      <c r="Q20" s="4" t="s">
        <v>14</v>
      </c>
    </row>
    <row r="21" spans="1:17" x14ac:dyDescent="0.2">
      <c r="A21" s="26" t="s">
        <v>63</v>
      </c>
      <c r="B21" s="26" t="s">
        <v>32</v>
      </c>
      <c r="C21" s="54">
        <v>39358.341999999997</v>
      </c>
      <c r="D21" s="54" t="s">
        <v>57</v>
      </c>
      <c r="E21">
        <f t="shared" ref="E21:E55" si="0">+(C21-C$7)/C$8</f>
        <v>-35131.98972376607</v>
      </c>
      <c r="F21">
        <f t="shared" ref="F21:F48" si="1">ROUND(2*E21,0)/2-1.5</f>
        <v>-35133.5</v>
      </c>
      <c r="G21">
        <f t="shared" ref="G21:G55" si="2">+C21-(C$7+F21*C$8)</f>
        <v>0.56494449999445351</v>
      </c>
      <c r="I21">
        <f t="shared" ref="I21:I48" si="3">+G21</f>
        <v>0.56494449999445351</v>
      </c>
      <c r="O21">
        <f t="shared" ref="O21:O55" ca="1" si="4">+C$11+C$12*$F21</f>
        <v>0.6028377837760841</v>
      </c>
      <c r="Q21" s="2">
        <f t="shared" ref="Q21:Q55" si="5">+C21-15018.5</f>
        <v>24339.841999999997</v>
      </c>
    </row>
    <row r="22" spans="1:17" x14ac:dyDescent="0.2">
      <c r="A22" s="26" t="s">
        <v>63</v>
      </c>
      <c r="B22" s="26" t="s">
        <v>32</v>
      </c>
      <c r="C22" s="54">
        <v>39764.237000000001</v>
      </c>
      <c r="D22" s="54" t="s">
        <v>57</v>
      </c>
      <c r="E22">
        <f t="shared" si="0"/>
        <v>-34046.903362231889</v>
      </c>
      <c r="F22">
        <f t="shared" si="1"/>
        <v>-34048.5</v>
      </c>
      <c r="G22">
        <f t="shared" si="2"/>
        <v>0.59724950000236277</v>
      </c>
      <c r="I22">
        <f t="shared" si="3"/>
        <v>0.59724950000236277</v>
      </c>
      <c r="O22">
        <f t="shared" ca="1" si="4"/>
        <v>0.59871174364668289</v>
      </c>
      <c r="Q22" s="2">
        <f t="shared" si="5"/>
        <v>24745.737000000001</v>
      </c>
    </row>
    <row r="23" spans="1:17" x14ac:dyDescent="0.2">
      <c r="A23" s="26" t="s">
        <v>63</v>
      </c>
      <c r="B23" s="26" t="s">
        <v>32</v>
      </c>
      <c r="C23" s="54">
        <v>41210.334000000003</v>
      </c>
      <c r="D23" s="54" t="s">
        <v>57</v>
      </c>
      <c r="E23">
        <f t="shared" si="0"/>
        <v>-30181.026393667435</v>
      </c>
      <c r="F23">
        <f t="shared" si="1"/>
        <v>-30182.5</v>
      </c>
      <c r="G23">
        <f t="shared" si="2"/>
        <v>0.55122750000737142</v>
      </c>
      <c r="I23">
        <f t="shared" si="3"/>
        <v>0.55122750000737142</v>
      </c>
      <c r="O23">
        <f t="shared" ca="1" si="4"/>
        <v>0.58401011125934177</v>
      </c>
      <c r="Q23" s="2">
        <f t="shared" si="5"/>
        <v>26191.834000000003</v>
      </c>
    </row>
    <row r="24" spans="1:17" x14ac:dyDescent="0.2">
      <c r="A24" s="26" t="s">
        <v>63</v>
      </c>
      <c r="B24" s="26" t="s">
        <v>43</v>
      </c>
      <c r="C24" s="54">
        <v>41597.326000000001</v>
      </c>
      <c r="D24" s="54" t="s">
        <v>57</v>
      </c>
      <c r="E24">
        <f t="shared" si="0"/>
        <v>-29146.473760048328</v>
      </c>
      <c r="F24">
        <f t="shared" si="1"/>
        <v>-29148</v>
      </c>
      <c r="G24">
        <f t="shared" si="2"/>
        <v>0.57091600000421749</v>
      </c>
      <c r="I24">
        <f t="shared" si="3"/>
        <v>0.57091600000421749</v>
      </c>
      <c r="O24">
        <f t="shared" ca="1" si="4"/>
        <v>0.5800761126290509</v>
      </c>
      <c r="Q24" s="2">
        <f t="shared" si="5"/>
        <v>26578.826000000001</v>
      </c>
    </row>
    <row r="25" spans="1:17" x14ac:dyDescent="0.2">
      <c r="A25" s="26" t="s">
        <v>63</v>
      </c>
      <c r="B25" s="26" t="s">
        <v>43</v>
      </c>
      <c r="C25" s="54">
        <v>42305.415999999997</v>
      </c>
      <c r="D25" s="54" t="s">
        <v>57</v>
      </c>
      <c r="E25">
        <f t="shared" si="0"/>
        <v>-27253.524101297364</v>
      </c>
      <c r="F25">
        <f t="shared" si="1"/>
        <v>-27255</v>
      </c>
      <c r="G25">
        <f t="shared" si="2"/>
        <v>0.55208500000298955</v>
      </c>
      <c r="I25">
        <f t="shared" si="3"/>
        <v>0.55208500000298955</v>
      </c>
      <c r="O25">
        <f t="shared" ca="1" si="4"/>
        <v>0.57287740851388358</v>
      </c>
      <c r="Q25" s="2">
        <f t="shared" si="5"/>
        <v>27286.915999999997</v>
      </c>
    </row>
    <row r="26" spans="1:17" x14ac:dyDescent="0.2">
      <c r="A26" s="26" t="s">
        <v>63</v>
      </c>
      <c r="B26" s="26" t="s">
        <v>32</v>
      </c>
      <c r="C26" s="54">
        <v>42309.353000000003</v>
      </c>
      <c r="D26" s="54" t="s">
        <v>57</v>
      </c>
      <c r="E26">
        <f t="shared" si="0"/>
        <v>-27242.999248797663</v>
      </c>
      <c r="F26">
        <f t="shared" si="1"/>
        <v>-27244.5</v>
      </c>
      <c r="G26">
        <f t="shared" si="2"/>
        <v>0.56138150000333553</v>
      </c>
      <c r="I26">
        <f t="shared" si="3"/>
        <v>0.56138150000333553</v>
      </c>
      <c r="O26">
        <f t="shared" ca="1" si="4"/>
        <v>0.57283747909327654</v>
      </c>
      <c r="Q26" s="2">
        <f t="shared" si="5"/>
        <v>27290.853000000003</v>
      </c>
    </row>
    <row r="27" spans="1:17" x14ac:dyDescent="0.2">
      <c r="A27" s="26" t="s">
        <v>63</v>
      </c>
      <c r="B27" s="26" t="s">
        <v>43</v>
      </c>
      <c r="C27" s="54">
        <v>42334.21</v>
      </c>
      <c r="D27" s="54" t="s">
        <v>57</v>
      </c>
      <c r="E27">
        <f t="shared" si="0"/>
        <v>-27176.548586215835</v>
      </c>
      <c r="F27">
        <f t="shared" si="1"/>
        <v>-27178</v>
      </c>
      <c r="G27">
        <f t="shared" si="2"/>
        <v>0.5429260000018985</v>
      </c>
      <c r="I27">
        <f t="shared" si="3"/>
        <v>0.5429260000018985</v>
      </c>
      <c r="O27">
        <f t="shared" ca="1" si="4"/>
        <v>0.57258459276276485</v>
      </c>
      <c r="Q27" s="2">
        <f t="shared" si="5"/>
        <v>27315.71</v>
      </c>
    </row>
    <row r="28" spans="1:17" x14ac:dyDescent="0.2">
      <c r="A28" s="26" t="s">
        <v>63</v>
      </c>
      <c r="B28" s="26" t="s">
        <v>32</v>
      </c>
      <c r="C28" s="54">
        <v>42369.2</v>
      </c>
      <c r="D28" s="54" t="s">
        <v>57</v>
      </c>
      <c r="E28">
        <f t="shared" si="0"/>
        <v>-27083.009193540198</v>
      </c>
      <c r="F28">
        <f t="shared" si="1"/>
        <v>-27084.5</v>
      </c>
      <c r="G28">
        <f t="shared" si="2"/>
        <v>0.55766150000272319</v>
      </c>
      <c r="I28">
        <f t="shared" si="3"/>
        <v>0.55766150000272319</v>
      </c>
      <c r="O28">
        <f t="shared" ca="1" si="4"/>
        <v>0.57222903077926346</v>
      </c>
      <c r="Q28" s="2">
        <f t="shared" si="5"/>
        <v>27350.699999999997</v>
      </c>
    </row>
    <row r="29" spans="1:17" x14ac:dyDescent="0.2">
      <c r="A29" s="26" t="s">
        <v>63</v>
      </c>
      <c r="B29" s="26" t="s">
        <v>32</v>
      </c>
      <c r="C29" s="54">
        <v>42655.364000000001</v>
      </c>
      <c r="D29" s="54" t="s">
        <v>57</v>
      </c>
      <c r="E29">
        <f t="shared" si="0"/>
        <v>-26318.0018552826</v>
      </c>
      <c r="F29">
        <f t="shared" si="1"/>
        <v>-26319.5</v>
      </c>
      <c r="G29">
        <f t="shared" si="2"/>
        <v>0.56040650000068126</v>
      </c>
      <c r="I29">
        <f t="shared" si="3"/>
        <v>0.56040650000068126</v>
      </c>
      <c r="O29">
        <f t="shared" ca="1" si="4"/>
        <v>0.5693198872778884</v>
      </c>
      <c r="Q29" s="2">
        <f t="shared" si="5"/>
        <v>27636.864000000001</v>
      </c>
    </row>
    <row r="30" spans="1:17" x14ac:dyDescent="0.2">
      <c r="A30" s="26" t="s">
        <v>63</v>
      </c>
      <c r="B30" s="26" t="s">
        <v>43</v>
      </c>
      <c r="C30" s="54">
        <v>42660.442999999999</v>
      </c>
      <c r="D30" s="54" t="s">
        <v>57</v>
      </c>
      <c r="E30">
        <f t="shared" si="0"/>
        <v>-26304.424073762184</v>
      </c>
      <c r="F30">
        <f t="shared" si="1"/>
        <v>-26306</v>
      </c>
      <c r="G30">
        <f t="shared" si="2"/>
        <v>0.58950200000253972</v>
      </c>
      <c r="I30">
        <f t="shared" si="3"/>
        <v>0.58950200000253972</v>
      </c>
      <c r="O30">
        <f t="shared" ca="1" si="4"/>
        <v>0.56926854945139349</v>
      </c>
      <c r="Q30" s="2">
        <f t="shared" si="5"/>
        <v>27641.942999999999</v>
      </c>
    </row>
    <row r="31" spans="1:17" x14ac:dyDescent="0.2">
      <c r="A31" s="26" t="s">
        <v>63</v>
      </c>
      <c r="B31" s="26" t="s">
        <v>43</v>
      </c>
      <c r="C31" s="54">
        <v>43046.417000000001</v>
      </c>
      <c r="D31" s="54" t="s">
        <v>57</v>
      </c>
      <c r="E31">
        <f t="shared" si="0"/>
        <v>-25272.592877746491</v>
      </c>
      <c r="F31">
        <f t="shared" si="1"/>
        <v>-25274</v>
      </c>
      <c r="G31">
        <f t="shared" si="2"/>
        <v>0.52635800000280142</v>
      </c>
      <c r="I31">
        <f t="shared" si="3"/>
        <v>0.52635800000280142</v>
      </c>
      <c r="O31">
        <f t="shared" ca="1" si="4"/>
        <v>0.56534405782600916</v>
      </c>
      <c r="Q31" s="2">
        <f t="shared" si="5"/>
        <v>28027.917000000001</v>
      </c>
    </row>
    <row r="32" spans="1:17" x14ac:dyDescent="0.2">
      <c r="A32" s="26" t="s">
        <v>63</v>
      </c>
      <c r="B32" s="26" t="s">
        <v>32</v>
      </c>
      <c r="C32" s="54">
        <v>43047.37</v>
      </c>
      <c r="D32" s="54" t="s">
        <v>57</v>
      </c>
      <c r="E32">
        <f t="shared" si="0"/>
        <v>-25270.045205805363</v>
      </c>
      <c r="F32">
        <f t="shared" si="1"/>
        <v>-25271.5</v>
      </c>
      <c r="G32">
        <f t="shared" si="2"/>
        <v>0.54419050000433344</v>
      </c>
      <c r="I32">
        <f t="shared" si="3"/>
        <v>0.54419050000433344</v>
      </c>
      <c r="O32">
        <f t="shared" ca="1" si="4"/>
        <v>0.56533455082110262</v>
      </c>
      <c r="Q32" s="2">
        <f t="shared" si="5"/>
        <v>28028.870000000003</v>
      </c>
    </row>
    <row r="33" spans="1:17" x14ac:dyDescent="0.2">
      <c r="A33" s="26" t="s">
        <v>63</v>
      </c>
      <c r="B33" s="26" t="s">
        <v>32</v>
      </c>
      <c r="C33" s="54">
        <v>43396.368000000002</v>
      </c>
      <c r="D33" s="54" t="s">
        <v>57</v>
      </c>
      <c r="E33">
        <f t="shared" si="0"/>
        <v>-24337.062611778092</v>
      </c>
      <c r="F33">
        <f t="shared" si="1"/>
        <v>-24338.5</v>
      </c>
      <c r="G33">
        <f t="shared" si="2"/>
        <v>0.53767950000474229</v>
      </c>
      <c r="I33">
        <f t="shared" si="3"/>
        <v>0.53767950000474229</v>
      </c>
      <c r="O33">
        <f t="shared" ca="1" si="4"/>
        <v>0.56178653659001387</v>
      </c>
      <c r="Q33" s="2">
        <f t="shared" si="5"/>
        <v>28377.868000000002</v>
      </c>
    </row>
    <row r="34" spans="1:17" x14ac:dyDescent="0.2">
      <c r="A34" s="26" t="s">
        <v>63</v>
      </c>
      <c r="B34" s="26" t="s">
        <v>32</v>
      </c>
      <c r="C34" s="54">
        <v>43754.394999999997</v>
      </c>
      <c r="D34" s="54" t="s">
        <v>57</v>
      </c>
      <c r="E34">
        <f t="shared" si="0"/>
        <v>-23379.942630598267</v>
      </c>
      <c r="F34">
        <f t="shared" si="1"/>
        <v>-23381.5</v>
      </c>
      <c r="G34">
        <f t="shared" si="2"/>
        <v>0.5825604999990901</v>
      </c>
      <c r="I34">
        <f t="shared" si="3"/>
        <v>0.5825604999990901</v>
      </c>
      <c r="O34">
        <f t="shared" ca="1" si="4"/>
        <v>0.55814725511182306</v>
      </c>
      <c r="Q34" s="2">
        <f t="shared" si="5"/>
        <v>28735.894999999997</v>
      </c>
    </row>
    <row r="35" spans="1:17" x14ac:dyDescent="0.2">
      <c r="A35" s="26" t="s">
        <v>63</v>
      </c>
      <c r="B35" s="26" t="s">
        <v>32</v>
      </c>
      <c r="C35" s="54">
        <v>43787.330999999998</v>
      </c>
      <c r="D35" s="54" t="s">
        <v>57</v>
      </c>
      <c r="E35">
        <f t="shared" si="0"/>
        <v>-23291.894232851333</v>
      </c>
      <c r="F35">
        <f t="shared" si="1"/>
        <v>-23293.5</v>
      </c>
      <c r="G35">
        <f t="shared" si="2"/>
        <v>0.60066450000158511</v>
      </c>
      <c r="I35">
        <f t="shared" si="3"/>
        <v>0.60066450000158511</v>
      </c>
      <c r="O35">
        <f t="shared" ca="1" si="4"/>
        <v>0.55781260853911585</v>
      </c>
      <c r="Q35" s="2">
        <f t="shared" si="5"/>
        <v>28768.830999999998</v>
      </c>
    </row>
    <row r="36" spans="1:17" x14ac:dyDescent="0.2">
      <c r="A36" s="26" t="s">
        <v>63</v>
      </c>
      <c r="B36" s="26" t="s">
        <v>32</v>
      </c>
      <c r="C36" s="54">
        <v>44075.428999999996</v>
      </c>
      <c r="D36" s="54" t="s">
        <v>57</v>
      </c>
      <c r="E36">
        <f t="shared" si="0"/>
        <v>-22521.716697810825</v>
      </c>
      <c r="F36">
        <f t="shared" si="1"/>
        <v>-22523</v>
      </c>
      <c r="G36">
        <f t="shared" si="2"/>
        <v>0.48004099999525351</v>
      </c>
      <c r="I36">
        <f t="shared" si="3"/>
        <v>0.48004099999525351</v>
      </c>
      <c r="O36">
        <f t="shared" ca="1" si="4"/>
        <v>0.55488254962694661</v>
      </c>
      <c r="Q36" s="2">
        <f t="shared" si="5"/>
        <v>29056.928999999996</v>
      </c>
    </row>
    <row r="37" spans="1:17" x14ac:dyDescent="0.2">
      <c r="A37" s="26" t="s">
        <v>63</v>
      </c>
      <c r="B37" s="26" t="s">
        <v>32</v>
      </c>
      <c r="C37" s="54">
        <v>44137.392999999996</v>
      </c>
      <c r="D37" s="54" t="s">
        <v>57</v>
      </c>
      <c r="E37">
        <f t="shared" si="0"/>
        <v>-22356.067228598091</v>
      </c>
      <c r="F37">
        <f t="shared" si="1"/>
        <v>-22357.5</v>
      </c>
      <c r="G37">
        <f t="shared" si="2"/>
        <v>0.5359524999948917</v>
      </c>
      <c r="I37">
        <f t="shared" si="3"/>
        <v>0.5359524999948917</v>
      </c>
      <c r="O37">
        <f t="shared" ca="1" si="4"/>
        <v>0.55425318590213934</v>
      </c>
      <c r="Q37" s="2">
        <f t="shared" si="5"/>
        <v>29118.892999999996</v>
      </c>
    </row>
    <row r="38" spans="1:17" x14ac:dyDescent="0.2">
      <c r="A38" s="26" t="s">
        <v>63</v>
      </c>
      <c r="B38" s="26" t="s">
        <v>32</v>
      </c>
      <c r="C38" s="54">
        <v>44489.398999999998</v>
      </c>
      <c r="D38" s="54" t="s">
        <v>57</v>
      </c>
      <c r="E38">
        <f t="shared" si="0"/>
        <v>-21415.043294383093</v>
      </c>
      <c r="F38">
        <f t="shared" si="1"/>
        <v>-21416.5</v>
      </c>
      <c r="G38">
        <f t="shared" si="2"/>
        <v>0.54490549999900395</v>
      </c>
      <c r="I38">
        <f t="shared" si="3"/>
        <v>0.54490549999900395</v>
      </c>
      <c r="O38">
        <f t="shared" ca="1" si="4"/>
        <v>0.55067474925534987</v>
      </c>
      <c r="Q38" s="2">
        <f t="shared" si="5"/>
        <v>29470.898999999998</v>
      </c>
    </row>
    <row r="39" spans="1:17" x14ac:dyDescent="0.2">
      <c r="A39" s="26" t="s">
        <v>63</v>
      </c>
      <c r="B39" s="26" t="s">
        <v>43</v>
      </c>
      <c r="C39" s="54">
        <v>44899.264000000003</v>
      </c>
      <c r="D39" s="54" t="s">
        <v>57</v>
      </c>
      <c r="E39">
        <f t="shared" si="0"/>
        <v>-20319.343860859139</v>
      </c>
      <c r="F39">
        <f t="shared" si="1"/>
        <v>-20321</v>
      </c>
      <c r="G39">
        <f t="shared" si="2"/>
        <v>0.61950700000306824</v>
      </c>
      <c r="I39">
        <f t="shared" si="3"/>
        <v>0.61950700000306824</v>
      </c>
      <c r="O39">
        <f t="shared" ca="1" si="4"/>
        <v>0.54650877970534162</v>
      </c>
      <c r="Q39" s="2">
        <f t="shared" si="5"/>
        <v>29880.764000000003</v>
      </c>
    </row>
    <row r="40" spans="1:17" x14ac:dyDescent="0.2">
      <c r="A40" s="26" t="s">
        <v>63</v>
      </c>
      <c r="B40" s="26" t="s">
        <v>32</v>
      </c>
      <c r="C40" s="54">
        <v>44904.245000000003</v>
      </c>
      <c r="D40" s="54" t="s">
        <v>57</v>
      </c>
      <c r="E40">
        <f t="shared" si="0"/>
        <v>-20306.028064491107</v>
      </c>
      <c r="F40">
        <f t="shared" si="1"/>
        <v>-20307.5</v>
      </c>
      <c r="G40">
        <f t="shared" si="2"/>
        <v>0.55060250000678934</v>
      </c>
      <c r="I40">
        <f t="shared" si="3"/>
        <v>0.55060250000678934</v>
      </c>
      <c r="O40">
        <f t="shared" ca="1" si="4"/>
        <v>0.54645744187884671</v>
      </c>
      <c r="Q40" s="2">
        <f t="shared" si="5"/>
        <v>29885.745000000003</v>
      </c>
    </row>
    <row r="41" spans="1:17" x14ac:dyDescent="0.2">
      <c r="A41" s="26" t="s">
        <v>63</v>
      </c>
      <c r="B41" s="26" t="s">
        <v>43</v>
      </c>
      <c r="C41" s="54">
        <v>45231.396000000001</v>
      </c>
      <c r="D41" s="54" t="s">
        <v>57</v>
      </c>
      <c r="E41">
        <f t="shared" si="0"/>
        <v>-19431.449446222196</v>
      </c>
      <c r="F41">
        <f t="shared" si="1"/>
        <v>-19433</v>
      </c>
      <c r="G41">
        <f t="shared" si="2"/>
        <v>0.58001100000547012</v>
      </c>
      <c r="I41">
        <f t="shared" si="3"/>
        <v>0.58001100000547012</v>
      </c>
      <c r="O41">
        <f t="shared" ca="1" si="4"/>
        <v>0.54313189156256891</v>
      </c>
      <c r="Q41" s="2">
        <f t="shared" si="5"/>
        <v>30212.896000000001</v>
      </c>
    </row>
    <row r="42" spans="1:17" x14ac:dyDescent="0.2">
      <c r="A42" s="26" t="s">
        <v>63</v>
      </c>
      <c r="B42" s="26" t="s">
        <v>32</v>
      </c>
      <c r="C42" s="54">
        <v>45232.362000000001</v>
      </c>
      <c r="D42" s="54" t="s">
        <v>57</v>
      </c>
      <c r="E42">
        <f t="shared" si="0"/>
        <v>-19428.86702114861</v>
      </c>
      <c r="F42">
        <f t="shared" si="1"/>
        <v>-19430.5</v>
      </c>
      <c r="G42">
        <f t="shared" si="2"/>
        <v>0.61084350000601262</v>
      </c>
      <c r="I42">
        <f t="shared" si="3"/>
        <v>0.61084350000601262</v>
      </c>
      <c r="O42">
        <f t="shared" ca="1" si="4"/>
        <v>0.54312238455766249</v>
      </c>
      <c r="Q42" s="2">
        <f t="shared" si="5"/>
        <v>30213.862000000001</v>
      </c>
    </row>
    <row r="43" spans="1:17" x14ac:dyDescent="0.2">
      <c r="A43" s="26" t="s">
        <v>63</v>
      </c>
      <c r="B43" s="26" t="s">
        <v>43</v>
      </c>
      <c r="C43" s="54">
        <v>45234.372000000003</v>
      </c>
      <c r="D43" s="54" t="s">
        <v>57</v>
      </c>
      <c r="E43">
        <f t="shared" si="0"/>
        <v>-19423.493652206678</v>
      </c>
      <c r="F43">
        <f t="shared" si="1"/>
        <v>-19425</v>
      </c>
      <c r="G43">
        <f t="shared" si="2"/>
        <v>0.56347500000265427</v>
      </c>
      <c r="I43">
        <f t="shared" si="3"/>
        <v>0.56347500000265427</v>
      </c>
      <c r="O43">
        <f t="shared" ca="1" si="4"/>
        <v>0.5431014691468683</v>
      </c>
      <c r="Q43" s="2">
        <f t="shared" si="5"/>
        <v>30215.872000000003</v>
      </c>
    </row>
    <row r="44" spans="1:17" x14ac:dyDescent="0.2">
      <c r="A44" s="26" t="s">
        <v>63</v>
      </c>
      <c r="B44" s="26" t="s">
        <v>43</v>
      </c>
      <c r="C44" s="54">
        <v>45237.373</v>
      </c>
      <c r="D44" s="54" t="s">
        <v>57</v>
      </c>
      <c r="E44">
        <f t="shared" si="0"/>
        <v>-19415.471025244136</v>
      </c>
      <c r="F44">
        <f t="shared" si="1"/>
        <v>-19417</v>
      </c>
      <c r="G44">
        <f t="shared" si="2"/>
        <v>0.57193900000129361</v>
      </c>
      <c r="I44">
        <f t="shared" si="3"/>
        <v>0.57193900000129361</v>
      </c>
      <c r="O44">
        <f t="shared" ca="1" si="4"/>
        <v>0.54307104673116768</v>
      </c>
      <c r="Q44" s="2">
        <f t="shared" si="5"/>
        <v>30218.873</v>
      </c>
    </row>
    <row r="45" spans="1:17" x14ac:dyDescent="0.2">
      <c r="A45" s="26" t="s">
        <v>63</v>
      </c>
      <c r="B45" s="26" t="s">
        <v>43</v>
      </c>
      <c r="C45" s="54">
        <v>45264.326999999997</v>
      </c>
      <c r="D45" s="54" t="s">
        <v>57</v>
      </c>
      <c r="E45">
        <f t="shared" si="0"/>
        <v>-19343.414415064683</v>
      </c>
      <c r="F45">
        <f t="shared" si="1"/>
        <v>-19345</v>
      </c>
      <c r="G45">
        <f t="shared" si="2"/>
        <v>0.59311500000330852</v>
      </c>
      <c r="I45">
        <f t="shared" si="3"/>
        <v>0.59311500000330852</v>
      </c>
      <c r="O45">
        <f t="shared" ca="1" si="4"/>
        <v>0.5427972449898617</v>
      </c>
      <c r="Q45" s="2">
        <f t="shared" si="5"/>
        <v>30245.826999999997</v>
      </c>
    </row>
    <row r="46" spans="1:17" x14ac:dyDescent="0.2">
      <c r="A46" s="26" t="s">
        <v>63</v>
      </c>
      <c r="B46" s="26" t="s">
        <v>32</v>
      </c>
      <c r="C46" s="54">
        <v>45266.364999999998</v>
      </c>
      <c r="D46" s="54" t="s">
        <v>57</v>
      </c>
      <c r="E46">
        <f t="shared" si="0"/>
        <v>-19337.96619322207</v>
      </c>
      <c r="F46">
        <f t="shared" si="1"/>
        <v>-19339.5</v>
      </c>
      <c r="G46">
        <f t="shared" si="2"/>
        <v>0.57374649999837857</v>
      </c>
      <c r="I46">
        <f t="shared" si="3"/>
        <v>0.57374649999837857</v>
      </c>
      <c r="O46">
        <f t="shared" ca="1" si="4"/>
        <v>0.54277632957906752</v>
      </c>
      <c r="Q46" s="2">
        <f t="shared" si="5"/>
        <v>30247.864999999998</v>
      </c>
    </row>
    <row r="47" spans="1:17" x14ac:dyDescent="0.2">
      <c r="A47" s="26" t="s">
        <v>63</v>
      </c>
      <c r="B47" s="26" t="s">
        <v>32</v>
      </c>
      <c r="C47" s="54">
        <v>45341.165999999997</v>
      </c>
      <c r="D47" s="54" t="s">
        <v>57</v>
      </c>
      <c r="E47">
        <f t="shared" si="0"/>
        <v>-19137.999342363804</v>
      </c>
      <c r="F47">
        <f t="shared" si="1"/>
        <v>-19139.5</v>
      </c>
      <c r="G47">
        <f t="shared" si="2"/>
        <v>0.56134649999876274</v>
      </c>
      <c r="I47">
        <f t="shared" si="3"/>
        <v>0.56134649999876274</v>
      </c>
      <c r="O47">
        <f t="shared" ca="1" si="4"/>
        <v>0.54201576918655114</v>
      </c>
      <c r="Q47" s="2">
        <f t="shared" si="5"/>
        <v>30322.665999999997</v>
      </c>
    </row>
    <row r="48" spans="1:17" x14ac:dyDescent="0.2">
      <c r="A48" s="26" t="s">
        <v>63</v>
      </c>
      <c r="B48" s="26" t="s">
        <v>32</v>
      </c>
      <c r="C48" s="54">
        <v>45594.440999999999</v>
      </c>
      <c r="D48" s="54" t="s">
        <v>57</v>
      </c>
      <c r="E48">
        <f t="shared" si="0"/>
        <v>-18460.914755912709</v>
      </c>
      <c r="F48">
        <f t="shared" si="1"/>
        <v>-18462.5</v>
      </c>
      <c r="G48">
        <f t="shared" si="2"/>
        <v>0.59298750000016298</v>
      </c>
      <c r="I48">
        <f t="shared" si="3"/>
        <v>0.59298750000016298</v>
      </c>
      <c r="O48">
        <f t="shared" ca="1" si="4"/>
        <v>0.5394412722578833</v>
      </c>
      <c r="Q48" s="2">
        <f t="shared" si="5"/>
        <v>30575.940999999999</v>
      </c>
    </row>
    <row r="49" spans="1:17" x14ac:dyDescent="0.2">
      <c r="A49" s="33" t="s">
        <v>34</v>
      </c>
      <c r="B49" s="32" t="s">
        <v>32</v>
      </c>
      <c r="C49" s="33">
        <v>52500.06</v>
      </c>
      <c r="D49" s="29"/>
      <c r="E49">
        <f t="shared" si="0"/>
        <v>0</v>
      </c>
      <c r="F49">
        <f>ROUND(2*E49,0)/2</f>
        <v>0</v>
      </c>
      <c r="G49">
        <f t="shared" si="2"/>
        <v>0</v>
      </c>
      <c r="K49" s="55">
        <f>+G49</f>
        <v>0</v>
      </c>
      <c r="O49">
        <f t="shared" ca="1" si="4"/>
        <v>0.46923204102371724</v>
      </c>
      <c r="Q49" s="2">
        <f t="shared" si="5"/>
        <v>37481.56</v>
      </c>
    </row>
    <row r="50" spans="1:17" x14ac:dyDescent="0.2">
      <c r="A50" s="26" t="s">
        <v>147</v>
      </c>
      <c r="B50" s="26" t="s">
        <v>32</v>
      </c>
      <c r="C50" s="54">
        <v>52503.512999999999</v>
      </c>
      <c r="D50" s="54" t="s">
        <v>57</v>
      </c>
      <c r="E50">
        <f t="shared" si="0"/>
        <v>9.2309666450163714</v>
      </c>
      <c r="F50">
        <f>ROUND(2*E50,0)/2-1.5</f>
        <v>7.5</v>
      </c>
      <c r="G50">
        <f t="shared" si="2"/>
        <v>0.64749750000191852</v>
      </c>
      <c r="I50">
        <f>+G50</f>
        <v>0.64749750000191852</v>
      </c>
      <c r="O50">
        <f t="shared" ca="1" si="4"/>
        <v>0.4692035200089979</v>
      </c>
      <c r="Q50" s="2">
        <f t="shared" si="5"/>
        <v>37485.012999999999</v>
      </c>
    </row>
    <row r="51" spans="1:17" x14ac:dyDescent="0.2">
      <c r="A51" s="33" t="s">
        <v>38</v>
      </c>
      <c r="B51" s="34"/>
      <c r="C51" s="33">
        <v>53943.487999999998</v>
      </c>
      <c r="D51" s="33">
        <v>2E-3</v>
      </c>
      <c r="E51">
        <f t="shared" si="0"/>
        <v>3858.7418831385821</v>
      </c>
      <c r="F51">
        <f>ROUND(2*E51,0)/2-0.5</f>
        <v>3858</v>
      </c>
      <c r="G51">
        <f t="shared" si="2"/>
        <v>0.27751400000124704</v>
      </c>
      <c r="K51">
        <f>+G51</f>
        <v>0.27751400000124704</v>
      </c>
      <c r="O51">
        <f t="shared" ca="1" si="4"/>
        <v>0.45456083105207673</v>
      </c>
      <c r="Q51" s="2">
        <f t="shared" si="5"/>
        <v>38924.987999999998</v>
      </c>
    </row>
    <row r="52" spans="1:17" x14ac:dyDescent="0.2">
      <c r="A52" s="36" t="s">
        <v>45</v>
      </c>
      <c r="B52" s="37" t="s">
        <v>32</v>
      </c>
      <c r="C52" s="38">
        <v>55070.737999999998</v>
      </c>
      <c r="D52" s="36" t="s">
        <v>46</v>
      </c>
      <c r="E52">
        <f t="shared" si="0"/>
        <v>6872.2394651225586</v>
      </c>
      <c r="F52">
        <f>ROUND(2*E52,0)/2-1.5</f>
        <v>6870.5</v>
      </c>
      <c r="G52">
        <f t="shared" si="2"/>
        <v>0.65067650000128197</v>
      </c>
      <c r="K52">
        <f>+G52</f>
        <v>0.65067650000128197</v>
      </c>
      <c r="O52">
        <f t="shared" ca="1" si="4"/>
        <v>0.44310489013979915</v>
      </c>
      <c r="Q52" s="2">
        <f t="shared" si="5"/>
        <v>40052.237999999998</v>
      </c>
    </row>
    <row r="53" spans="1:17" x14ac:dyDescent="0.2">
      <c r="A53" s="35" t="s">
        <v>39</v>
      </c>
      <c r="B53" s="32" t="s">
        <v>32</v>
      </c>
      <c r="C53" s="33">
        <v>55480.720800000003</v>
      </c>
      <c r="D53" s="33">
        <v>8.9999999999999998E-4</v>
      </c>
      <c r="E53">
        <f t="shared" si="0"/>
        <v>7968.2538154929607</v>
      </c>
      <c r="F53">
        <f>ROUND(2*E53,0)/2-1.5</f>
        <v>7967</v>
      </c>
      <c r="G53">
        <f t="shared" si="2"/>
        <v>0.4690110000083223</v>
      </c>
      <c r="K53">
        <f>+G53</f>
        <v>0.4690110000083223</v>
      </c>
      <c r="O53">
        <f t="shared" ca="1" si="4"/>
        <v>0.43893511778782823</v>
      </c>
      <c r="Q53" s="2">
        <f t="shared" si="5"/>
        <v>40462.220800000003</v>
      </c>
    </row>
    <row r="54" spans="1:17" x14ac:dyDescent="0.2">
      <c r="A54" s="39" t="s">
        <v>42</v>
      </c>
      <c r="B54" s="34" t="s">
        <v>43</v>
      </c>
      <c r="C54" s="40">
        <v>55838.328099999999</v>
      </c>
      <c r="D54" s="40">
        <v>2.9999999999999997E-4</v>
      </c>
      <c r="E54">
        <f t="shared" si="0"/>
        <v>8924.2518051579027</v>
      </c>
      <c r="F54">
        <f>ROUND(2*E54,0)/2-1.5</f>
        <v>8923</v>
      </c>
      <c r="G54">
        <f t="shared" si="2"/>
        <v>0.46825900000112597</v>
      </c>
      <c r="K54">
        <f>+G54</f>
        <v>0.46825900000112597</v>
      </c>
      <c r="O54">
        <f t="shared" ca="1" si="4"/>
        <v>0.43529963911160002</v>
      </c>
      <c r="Q54" s="2">
        <f t="shared" si="5"/>
        <v>40819.828099999999</v>
      </c>
    </row>
    <row r="55" spans="1:17" x14ac:dyDescent="0.2">
      <c r="A55" s="35" t="s">
        <v>44</v>
      </c>
      <c r="B55" s="32" t="s">
        <v>32</v>
      </c>
      <c r="C55" s="33">
        <v>56227.731599999999</v>
      </c>
      <c r="D55" s="33">
        <v>5.0000000000000001E-4</v>
      </c>
      <c r="E55">
        <f t="shared" si="0"/>
        <v>9965.2511448483874</v>
      </c>
      <c r="F55">
        <f>ROUND(2*E55,0)/2-1.5</f>
        <v>9964</v>
      </c>
      <c r="G55">
        <f t="shared" si="2"/>
        <v>0.46801200000481913</v>
      </c>
      <c r="K55">
        <f>+G55</f>
        <v>0.46801200000481913</v>
      </c>
      <c r="O55">
        <f t="shared" ca="1" si="4"/>
        <v>0.43134092226855242</v>
      </c>
      <c r="Q55" s="2">
        <f t="shared" si="5"/>
        <v>41209.231599999999</v>
      </c>
    </row>
    <row r="56" spans="1:17" x14ac:dyDescent="0.2">
      <c r="C56" s="10"/>
      <c r="D56" s="10"/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54"/>
  <sheetViews>
    <sheetView workbookViewId="0">
      <selection activeCell="A11" sqref="A11:D3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1" t="s">
        <v>47</v>
      </c>
      <c r="I1" s="42" t="s">
        <v>48</v>
      </c>
      <c r="J1" s="43" t="s">
        <v>49</v>
      </c>
    </row>
    <row r="2" spans="1:16" x14ac:dyDescent="0.2">
      <c r="I2" s="44" t="s">
        <v>50</v>
      </c>
      <c r="J2" s="45" t="s">
        <v>51</v>
      </c>
    </row>
    <row r="3" spans="1:16" x14ac:dyDescent="0.2">
      <c r="A3" s="46" t="s">
        <v>52</v>
      </c>
      <c r="I3" s="44" t="s">
        <v>53</v>
      </c>
      <c r="J3" s="45" t="s">
        <v>54</v>
      </c>
    </row>
    <row r="4" spans="1:16" x14ac:dyDescent="0.2">
      <c r="I4" s="44" t="s">
        <v>55</v>
      </c>
      <c r="J4" s="45" t="s">
        <v>54</v>
      </c>
    </row>
    <row r="5" spans="1:16" ht="13.5" thickBot="1" x14ac:dyDescent="0.25">
      <c r="I5" s="47" t="s">
        <v>56</v>
      </c>
      <c r="J5" s="48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44" si="0">P11</f>
        <v> PZ 22.344 </v>
      </c>
      <c r="B11" s="3" t="str">
        <f t="shared" ref="B11:B44" si="1">IF(H11=INT(H11),"I","II")</f>
        <v>I</v>
      </c>
      <c r="C11" s="10">
        <f t="shared" ref="C11:C44" si="2">1*G11</f>
        <v>39358.341999999997</v>
      </c>
      <c r="D11" s="12" t="str">
        <f t="shared" ref="D11:D44" si="3">VLOOKUP(F11,I$1:J$5,2,FALSE)</f>
        <v>vis</v>
      </c>
      <c r="E11" s="49">
        <f>VLOOKUP(C11,Active!C$21:E$973,3,FALSE)</f>
        <v>-28542.804483023599</v>
      </c>
      <c r="F11" s="3" t="s">
        <v>56</v>
      </c>
      <c r="G11" s="12" t="str">
        <f t="shared" ref="G11:G44" si="4">MID(I11,3,LEN(I11)-3)</f>
        <v>39358.342</v>
      </c>
      <c r="H11" s="10">
        <f t="shared" ref="H11:H44" si="5">1*K11</f>
        <v>-36347</v>
      </c>
      <c r="I11" s="50" t="s">
        <v>58</v>
      </c>
      <c r="J11" s="51" t="s">
        <v>59</v>
      </c>
      <c r="K11" s="50">
        <v>-36347</v>
      </c>
      <c r="L11" s="50" t="s">
        <v>60</v>
      </c>
      <c r="M11" s="51" t="s">
        <v>61</v>
      </c>
      <c r="N11" s="51"/>
      <c r="O11" s="52" t="s">
        <v>62</v>
      </c>
      <c r="P11" s="52" t="s">
        <v>63</v>
      </c>
    </row>
    <row r="12" spans="1:16" ht="12.75" customHeight="1" thickBot="1" x14ac:dyDescent="0.25">
      <c r="A12" s="10" t="str">
        <f t="shared" si="0"/>
        <v> PZ 22.344 </v>
      </c>
      <c r="B12" s="3" t="str">
        <f t="shared" si="1"/>
        <v>I</v>
      </c>
      <c r="C12" s="10">
        <f t="shared" si="2"/>
        <v>39764.237000000001</v>
      </c>
      <c r="D12" s="12" t="str">
        <f t="shared" si="3"/>
        <v>vis</v>
      </c>
      <c r="E12" s="49">
        <f>VLOOKUP(C12,Active!C$21:E$973,3,FALSE)</f>
        <v>-27661.231645618551</v>
      </c>
      <c r="F12" s="3" t="s">
        <v>56</v>
      </c>
      <c r="G12" s="12" t="str">
        <f t="shared" si="4"/>
        <v>39764.237</v>
      </c>
      <c r="H12" s="10">
        <f t="shared" si="5"/>
        <v>-35262</v>
      </c>
      <c r="I12" s="50" t="s">
        <v>64</v>
      </c>
      <c r="J12" s="51" t="s">
        <v>65</v>
      </c>
      <c r="K12" s="50">
        <v>-35262</v>
      </c>
      <c r="L12" s="50" t="s">
        <v>66</v>
      </c>
      <c r="M12" s="51" t="s">
        <v>61</v>
      </c>
      <c r="N12" s="51"/>
      <c r="O12" s="52" t="s">
        <v>62</v>
      </c>
      <c r="P12" s="52" t="s">
        <v>63</v>
      </c>
    </row>
    <row r="13" spans="1:16" ht="12.75" customHeight="1" thickBot="1" x14ac:dyDescent="0.25">
      <c r="A13" s="10" t="str">
        <f t="shared" si="0"/>
        <v> PZ 22.344 </v>
      </c>
      <c r="B13" s="3" t="str">
        <f t="shared" si="1"/>
        <v>I</v>
      </c>
      <c r="C13" s="10">
        <f t="shared" si="2"/>
        <v>41210.334000000003</v>
      </c>
      <c r="D13" s="12" t="str">
        <f t="shared" si="3"/>
        <v>vis</v>
      </c>
      <c r="E13" s="49">
        <f>VLOOKUP(C13,Active!C$21:E$973,3,FALSE)</f>
        <v>-24520.419771974099</v>
      </c>
      <c r="F13" s="3" t="s">
        <v>56</v>
      </c>
      <c r="G13" s="12" t="str">
        <f t="shared" si="4"/>
        <v>41210.334</v>
      </c>
      <c r="H13" s="10">
        <f t="shared" si="5"/>
        <v>-31396</v>
      </c>
      <c r="I13" s="50" t="s">
        <v>67</v>
      </c>
      <c r="J13" s="51" t="s">
        <v>68</v>
      </c>
      <c r="K13" s="50">
        <v>-31396</v>
      </c>
      <c r="L13" s="50" t="s">
        <v>69</v>
      </c>
      <c r="M13" s="51" t="s">
        <v>61</v>
      </c>
      <c r="N13" s="51"/>
      <c r="O13" s="52" t="s">
        <v>62</v>
      </c>
      <c r="P13" s="52" t="s">
        <v>63</v>
      </c>
    </row>
    <row r="14" spans="1:16" ht="12.75" customHeight="1" thickBot="1" x14ac:dyDescent="0.25">
      <c r="A14" s="10" t="str">
        <f t="shared" si="0"/>
        <v> PZ 22.344 </v>
      </c>
      <c r="B14" s="3" t="str">
        <f t="shared" si="1"/>
        <v>II</v>
      </c>
      <c r="C14" s="10">
        <f t="shared" si="2"/>
        <v>41597.326000000001</v>
      </c>
      <c r="D14" s="12" t="str">
        <f t="shared" si="3"/>
        <v>vis</v>
      </c>
      <c r="E14" s="49">
        <f>VLOOKUP(C14,Active!C$21:E$973,3,FALSE)</f>
        <v>-23679.902802085213</v>
      </c>
      <c r="F14" s="3" t="s">
        <v>56</v>
      </c>
      <c r="G14" s="12" t="str">
        <f t="shared" si="4"/>
        <v>41597.326</v>
      </c>
      <c r="H14" s="10">
        <f t="shared" si="5"/>
        <v>-30361.5</v>
      </c>
      <c r="I14" s="50" t="s">
        <v>70</v>
      </c>
      <c r="J14" s="51" t="s">
        <v>71</v>
      </c>
      <c r="K14" s="50">
        <v>-30361.5</v>
      </c>
      <c r="L14" s="50" t="s">
        <v>72</v>
      </c>
      <c r="M14" s="51" t="s">
        <v>61</v>
      </c>
      <c r="N14" s="51"/>
      <c r="O14" s="52" t="s">
        <v>62</v>
      </c>
      <c r="P14" s="52" t="s">
        <v>63</v>
      </c>
    </row>
    <row r="15" spans="1:16" ht="12.75" customHeight="1" thickBot="1" x14ac:dyDescent="0.25">
      <c r="A15" s="10" t="str">
        <f t="shared" si="0"/>
        <v> PZ 22.344 </v>
      </c>
      <c r="B15" s="3" t="str">
        <f t="shared" si="1"/>
        <v>II</v>
      </c>
      <c r="C15" s="10">
        <f t="shared" si="2"/>
        <v>42305.415999999997</v>
      </c>
      <c r="D15" s="12" t="str">
        <f t="shared" si="3"/>
        <v>vis</v>
      </c>
      <c r="E15" s="49">
        <f>VLOOKUP(C15,Active!C$21:E$973,3,FALSE)</f>
        <v>-22141.985581035115</v>
      </c>
      <c r="F15" s="3" t="s">
        <v>56</v>
      </c>
      <c r="G15" s="12" t="str">
        <f t="shared" si="4"/>
        <v>42305.416</v>
      </c>
      <c r="H15" s="10">
        <f t="shared" si="5"/>
        <v>-28468.5</v>
      </c>
      <c r="I15" s="50" t="s">
        <v>73</v>
      </c>
      <c r="J15" s="51" t="s">
        <v>74</v>
      </c>
      <c r="K15" s="50">
        <v>-28468.5</v>
      </c>
      <c r="L15" s="50" t="s">
        <v>75</v>
      </c>
      <c r="M15" s="51" t="s">
        <v>61</v>
      </c>
      <c r="N15" s="51"/>
      <c r="O15" s="52" t="s">
        <v>62</v>
      </c>
      <c r="P15" s="52" t="s">
        <v>63</v>
      </c>
    </row>
    <row r="16" spans="1:16" ht="12.75" customHeight="1" thickBot="1" x14ac:dyDescent="0.25">
      <c r="A16" s="10" t="str">
        <f t="shared" si="0"/>
        <v> PZ 22.344 </v>
      </c>
      <c r="B16" s="3" t="str">
        <f t="shared" si="1"/>
        <v>I</v>
      </c>
      <c r="C16" s="10">
        <f t="shared" si="2"/>
        <v>42309.353000000003</v>
      </c>
      <c r="D16" s="12" t="str">
        <f t="shared" si="3"/>
        <v>vis</v>
      </c>
      <c r="E16" s="49">
        <f>VLOOKUP(C16,Active!C$21:E$973,3,FALSE)</f>
        <v>-22133.434718716366</v>
      </c>
      <c r="F16" s="3" t="s">
        <v>56</v>
      </c>
      <c r="G16" s="12" t="str">
        <f t="shared" si="4"/>
        <v>42309.353</v>
      </c>
      <c r="H16" s="10">
        <f t="shared" si="5"/>
        <v>-28458</v>
      </c>
      <c r="I16" s="50" t="s">
        <v>76</v>
      </c>
      <c r="J16" s="51" t="s">
        <v>77</v>
      </c>
      <c r="K16" s="50">
        <v>-28458</v>
      </c>
      <c r="L16" s="50" t="s">
        <v>78</v>
      </c>
      <c r="M16" s="51" t="s">
        <v>61</v>
      </c>
      <c r="N16" s="51"/>
      <c r="O16" s="52" t="s">
        <v>62</v>
      </c>
      <c r="P16" s="52" t="s">
        <v>63</v>
      </c>
    </row>
    <row r="17" spans="1:16" ht="12.75" customHeight="1" thickBot="1" x14ac:dyDescent="0.25">
      <c r="A17" s="10" t="str">
        <f t="shared" si="0"/>
        <v> PZ 22.344 </v>
      </c>
      <c r="B17" s="3" t="str">
        <f t="shared" si="1"/>
        <v>II</v>
      </c>
      <c r="C17" s="10">
        <f t="shared" si="2"/>
        <v>42334.21</v>
      </c>
      <c r="D17" s="12" t="str">
        <f t="shared" si="3"/>
        <v>vis</v>
      </c>
      <c r="E17" s="49">
        <f>VLOOKUP(C17,Active!C$21:E$973,3,FALSE)</f>
        <v>-22079.447219438538</v>
      </c>
      <c r="F17" s="3" t="s">
        <v>56</v>
      </c>
      <c r="G17" s="12" t="str">
        <f t="shared" si="4"/>
        <v>42334.210</v>
      </c>
      <c r="H17" s="10">
        <f t="shared" si="5"/>
        <v>-28391.5</v>
      </c>
      <c r="I17" s="50" t="s">
        <v>79</v>
      </c>
      <c r="J17" s="51" t="s">
        <v>80</v>
      </c>
      <c r="K17" s="50">
        <v>-28391.5</v>
      </c>
      <c r="L17" s="50" t="s">
        <v>81</v>
      </c>
      <c r="M17" s="51" t="s">
        <v>61</v>
      </c>
      <c r="N17" s="51"/>
      <c r="O17" s="52" t="s">
        <v>62</v>
      </c>
      <c r="P17" s="52" t="s">
        <v>63</v>
      </c>
    </row>
    <row r="18" spans="1:16" ht="12.75" customHeight="1" thickBot="1" x14ac:dyDescent="0.25">
      <c r="A18" s="10" t="str">
        <f t="shared" si="0"/>
        <v> PZ 22.344 </v>
      </c>
      <c r="B18" s="3" t="str">
        <f t="shared" si="1"/>
        <v>I</v>
      </c>
      <c r="C18" s="10">
        <f t="shared" si="2"/>
        <v>42369.2</v>
      </c>
      <c r="D18" s="12" t="str">
        <f t="shared" si="3"/>
        <v>vis</v>
      </c>
      <c r="E18" s="49">
        <f>VLOOKUP(C18,Active!C$21:E$973,3,FALSE)</f>
        <v>-22003.451620624066</v>
      </c>
      <c r="F18" s="3" t="s">
        <v>56</v>
      </c>
      <c r="G18" s="12" t="str">
        <f t="shared" si="4"/>
        <v>42369.200</v>
      </c>
      <c r="H18" s="10">
        <f t="shared" si="5"/>
        <v>-28298</v>
      </c>
      <c r="I18" s="50" t="s">
        <v>82</v>
      </c>
      <c r="J18" s="51" t="s">
        <v>83</v>
      </c>
      <c r="K18" s="50">
        <v>-28298</v>
      </c>
      <c r="L18" s="50" t="s">
        <v>84</v>
      </c>
      <c r="M18" s="51" t="s">
        <v>61</v>
      </c>
      <c r="N18" s="51"/>
      <c r="O18" s="52" t="s">
        <v>62</v>
      </c>
      <c r="P18" s="52" t="s">
        <v>63</v>
      </c>
    </row>
    <row r="19" spans="1:16" ht="12.75" customHeight="1" thickBot="1" x14ac:dyDescent="0.25">
      <c r="A19" s="10" t="str">
        <f t="shared" si="0"/>
        <v> PZ 22.344 </v>
      </c>
      <c r="B19" s="3" t="str">
        <f t="shared" si="1"/>
        <v>I</v>
      </c>
      <c r="C19" s="10">
        <f t="shared" si="2"/>
        <v>42655.364000000001</v>
      </c>
      <c r="D19" s="12" t="str">
        <f t="shared" si="3"/>
        <v>vis</v>
      </c>
      <c r="E19" s="49">
        <f>VLOOKUP(C19,Active!C$21:E$973,3,FALSE)</f>
        <v>-21381.925340568436</v>
      </c>
      <c r="F19" s="3" t="s">
        <v>56</v>
      </c>
      <c r="G19" s="12" t="str">
        <f t="shared" si="4"/>
        <v>42655.364</v>
      </c>
      <c r="H19" s="10">
        <f t="shared" si="5"/>
        <v>-27533</v>
      </c>
      <c r="I19" s="50" t="s">
        <v>85</v>
      </c>
      <c r="J19" s="51" t="s">
        <v>86</v>
      </c>
      <c r="K19" s="50">
        <v>-27533</v>
      </c>
      <c r="L19" s="50" t="s">
        <v>78</v>
      </c>
      <c r="M19" s="51" t="s">
        <v>61</v>
      </c>
      <c r="N19" s="51"/>
      <c r="O19" s="52" t="s">
        <v>62</v>
      </c>
      <c r="P19" s="52" t="s">
        <v>63</v>
      </c>
    </row>
    <row r="20" spans="1:16" ht="12.75" customHeight="1" thickBot="1" x14ac:dyDescent="0.25">
      <c r="A20" s="10" t="str">
        <f t="shared" si="0"/>
        <v> PZ 22.344 </v>
      </c>
      <c r="B20" s="3" t="str">
        <f t="shared" si="1"/>
        <v>II</v>
      </c>
      <c r="C20" s="10">
        <f t="shared" si="2"/>
        <v>42660.442999999999</v>
      </c>
      <c r="D20" s="12" t="str">
        <f t="shared" si="3"/>
        <v>vis</v>
      </c>
      <c r="E20" s="49">
        <f>VLOOKUP(C20,Active!C$21:E$973,3,FALSE)</f>
        <v>-21370.894141757959</v>
      </c>
      <c r="F20" s="3" t="s">
        <v>56</v>
      </c>
      <c r="G20" s="12" t="str">
        <f t="shared" si="4"/>
        <v>42660.443</v>
      </c>
      <c r="H20" s="10">
        <f t="shared" si="5"/>
        <v>-27519.5</v>
      </c>
      <c r="I20" s="50" t="s">
        <v>87</v>
      </c>
      <c r="J20" s="51" t="s">
        <v>88</v>
      </c>
      <c r="K20" s="50">
        <v>-27519.5</v>
      </c>
      <c r="L20" s="50" t="s">
        <v>66</v>
      </c>
      <c r="M20" s="51" t="s">
        <v>61</v>
      </c>
      <c r="N20" s="51"/>
      <c r="O20" s="52" t="s">
        <v>62</v>
      </c>
      <c r="P20" s="52" t="s">
        <v>63</v>
      </c>
    </row>
    <row r="21" spans="1:16" ht="12.75" customHeight="1" thickBot="1" x14ac:dyDescent="0.25">
      <c r="A21" s="10" t="str">
        <f t="shared" si="0"/>
        <v> PZ 22.344 </v>
      </c>
      <c r="B21" s="3" t="str">
        <f t="shared" si="1"/>
        <v>II</v>
      </c>
      <c r="C21" s="10">
        <f t="shared" si="2"/>
        <v>43046.417000000001</v>
      </c>
      <c r="D21" s="12" t="str">
        <f t="shared" si="3"/>
        <v>vis</v>
      </c>
      <c r="E21" s="49">
        <f>VLOOKUP(C21,Active!C$21:E$973,3,FALSE)</f>
        <v>-20532.588189862585</v>
      </c>
      <c r="F21" s="3" t="s">
        <v>56</v>
      </c>
      <c r="G21" s="12" t="str">
        <f t="shared" si="4"/>
        <v>43046.417</v>
      </c>
      <c r="H21" s="10">
        <f t="shared" si="5"/>
        <v>-26487.5</v>
      </c>
      <c r="I21" s="50" t="s">
        <v>89</v>
      </c>
      <c r="J21" s="51" t="s">
        <v>90</v>
      </c>
      <c r="K21" s="50">
        <v>-26487.5</v>
      </c>
      <c r="L21" s="50" t="s">
        <v>91</v>
      </c>
      <c r="M21" s="51" t="s">
        <v>61</v>
      </c>
      <c r="N21" s="51"/>
      <c r="O21" s="52" t="s">
        <v>62</v>
      </c>
      <c r="P21" s="52" t="s">
        <v>63</v>
      </c>
    </row>
    <row r="22" spans="1:16" ht="12.75" customHeight="1" thickBot="1" x14ac:dyDescent="0.25">
      <c r="A22" s="10" t="str">
        <f t="shared" si="0"/>
        <v> PZ 22.344 </v>
      </c>
      <c r="B22" s="3" t="str">
        <f t="shared" si="1"/>
        <v>I</v>
      </c>
      <c r="C22" s="10">
        <f t="shared" si="2"/>
        <v>43047.37</v>
      </c>
      <c r="D22" s="12" t="str">
        <f t="shared" si="3"/>
        <v>vis</v>
      </c>
      <c r="E22" s="49">
        <f>VLOOKUP(C22,Active!C$21:E$973,3,FALSE)</f>
        <v>-20530.518346888297</v>
      </c>
      <c r="F22" s="3" t="s">
        <v>56</v>
      </c>
      <c r="G22" s="12" t="str">
        <f t="shared" si="4"/>
        <v>43047.370</v>
      </c>
      <c r="H22" s="10">
        <f t="shared" si="5"/>
        <v>-26485</v>
      </c>
      <c r="I22" s="50" t="s">
        <v>92</v>
      </c>
      <c r="J22" s="51" t="s">
        <v>93</v>
      </c>
      <c r="K22" s="50">
        <v>-26485</v>
      </c>
      <c r="L22" s="50" t="s">
        <v>94</v>
      </c>
      <c r="M22" s="51" t="s">
        <v>61</v>
      </c>
      <c r="N22" s="51"/>
      <c r="O22" s="52" t="s">
        <v>62</v>
      </c>
      <c r="P22" s="52" t="s">
        <v>63</v>
      </c>
    </row>
    <row r="23" spans="1:16" ht="12.75" customHeight="1" thickBot="1" x14ac:dyDescent="0.25">
      <c r="A23" s="10" t="str">
        <f t="shared" si="0"/>
        <v> PZ 22.344 </v>
      </c>
      <c r="B23" s="3" t="str">
        <f t="shared" si="1"/>
        <v>I</v>
      </c>
      <c r="C23" s="10">
        <f t="shared" si="2"/>
        <v>43396.368000000002</v>
      </c>
      <c r="D23" s="12" t="str">
        <f t="shared" si="3"/>
        <v>vis</v>
      </c>
      <c r="E23" s="49">
        <f>VLOOKUP(C23,Active!C$21:E$973,3,FALSE)</f>
        <v>-19772.521433625796</v>
      </c>
      <c r="F23" s="3" t="s">
        <v>56</v>
      </c>
      <c r="G23" s="12" t="str">
        <f t="shared" si="4"/>
        <v>43396.368</v>
      </c>
      <c r="H23" s="10">
        <f t="shared" si="5"/>
        <v>-25552</v>
      </c>
      <c r="I23" s="50" t="s">
        <v>95</v>
      </c>
      <c r="J23" s="51" t="s">
        <v>96</v>
      </c>
      <c r="K23" s="50">
        <v>-25552</v>
      </c>
      <c r="L23" s="50" t="s">
        <v>97</v>
      </c>
      <c r="M23" s="51" t="s">
        <v>61</v>
      </c>
      <c r="N23" s="51"/>
      <c r="O23" s="52" t="s">
        <v>62</v>
      </c>
      <c r="P23" s="52" t="s">
        <v>63</v>
      </c>
    </row>
    <row r="24" spans="1:16" ht="12.75" customHeight="1" thickBot="1" x14ac:dyDescent="0.25">
      <c r="A24" s="10" t="str">
        <f t="shared" si="0"/>
        <v> PZ 22.344 </v>
      </c>
      <c r="B24" s="3" t="str">
        <f t="shared" si="1"/>
        <v>I</v>
      </c>
      <c r="C24" s="10">
        <f t="shared" si="2"/>
        <v>43754.394999999997</v>
      </c>
      <c r="D24" s="12" t="str">
        <f t="shared" si="3"/>
        <v>vis</v>
      </c>
      <c r="E24" s="49">
        <f>VLOOKUP(C24,Active!C$21:E$973,3,FALSE)</f>
        <v>-18994.914224230241</v>
      </c>
      <c r="F24" s="3" t="s">
        <v>56</v>
      </c>
      <c r="G24" s="12" t="str">
        <f t="shared" si="4"/>
        <v>43754.395</v>
      </c>
      <c r="H24" s="10">
        <f t="shared" si="5"/>
        <v>-24595</v>
      </c>
      <c r="I24" s="50" t="s">
        <v>98</v>
      </c>
      <c r="J24" s="51" t="s">
        <v>99</v>
      </c>
      <c r="K24" s="50">
        <v>-24595</v>
      </c>
      <c r="L24" s="50" t="s">
        <v>100</v>
      </c>
      <c r="M24" s="51" t="s">
        <v>61</v>
      </c>
      <c r="N24" s="51"/>
      <c r="O24" s="52" t="s">
        <v>62</v>
      </c>
      <c r="P24" s="52" t="s">
        <v>63</v>
      </c>
    </row>
    <row r="25" spans="1:16" ht="12.75" customHeight="1" thickBot="1" x14ac:dyDescent="0.25">
      <c r="A25" s="10" t="str">
        <f t="shared" si="0"/>
        <v> PZ 22.344 </v>
      </c>
      <c r="B25" s="3" t="str">
        <f t="shared" si="1"/>
        <v>I</v>
      </c>
      <c r="C25" s="10">
        <f t="shared" si="2"/>
        <v>43787.330999999998</v>
      </c>
      <c r="D25" s="12" t="str">
        <f t="shared" si="3"/>
        <v>vis</v>
      </c>
      <c r="E25" s="49">
        <f>VLOOKUP(C25,Active!C$21:E$973,3,FALSE)</f>
        <v>-18923.379756023503</v>
      </c>
      <c r="F25" s="3" t="s">
        <v>56</v>
      </c>
      <c r="G25" s="12" t="str">
        <f t="shared" si="4"/>
        <v>43787.331</v>
      </c>
      <c r="H25" s="10">
        <f t="shared" si="5"/>
        <v>-24507</v>
      </c>
      <c r="I25" s="50" t="s">
        <v>101</v>
      </c>
      <c r="J25" s="51" t="s">
        <v>102</v>
      </c>
      <c r="K25" s="50">
        <v>-24507</v>
      </c>
      <c r="L25" s="50" t="s">
        <v>103</v>
      </c>
      <c r="M25" s="51" t="s">
        <v>61</v>
      </c>
      <c r="N25" s="51"/>
      <c r="O25" s="52" t="s">
        <v>62</v>
      </c>
      <c r="P25" s="52" t="s">
        <v>63</v>
      </c>
    </row>
    <row r="26" spans="1:16" ht="12.75" customHeight="1" thickBot="1" x14ac:dyDescent="0.25">
      <c r="A26" s="10" t="str">
        <f t="shared" si="0"/>
        <v> PZ 22.344 </v>
      </c>
      <c r="B26" s="3" t="str">
        <f t="shared" si="1"/>
        <v>I</v>
      </c>
      <c r="C26" s="10">
        <f t="shared" si="2"/>
        <v>44075.428999999996</v>
      </c>
      <c r="D26" s="12" t="str">
        <f t="shared" si="3"/>
        <v>vis</v>
      </c>
      <c r="E26" s="49">
        <f>VLOOKUP(C26,Active!C$21:E$973,3,FALSE)</f>
        <v>-18297.652976164882</v>
      </c>
      <c r="F26" s="3" t="s">
        <v>56</v>
      </c>
      <c r="G26" s="12" t="str">
        <f t="shared" si="4"/>
        <v>44075.429</v>
      </c>
      <c r="H26" s="10">
        <f t="shared" si="5"/>
        <v>-23737</v>
      </c>
      <c r="I26" s="50" t="s">
        <v>104</v>
      </c>
      <c r="J26" s="51" t="s">
        <v>105</v>
      </c>
      <c r="K26" s="50">
        <v>-23737</v>
      </c>
      <c r="L26" s="50" t="s">
        <v>106</v>
      </c>
      <c r="M26" s="51" t="s">
        <v>61</v>
      </c>
      <c r="N26" s="51"/>
      <c r="O26" s="52" t="s">
        <v>62</v>
      </c>
      <c r="P26" s="52" t="s">
        <v>63</v>
      </c>
    </row>
    <row r="27" spans="1:16" ht="12.75" customHeight="1" thickBot="1" x14ac:dyDescent="0.25">
      <c r="A27" s="10" t="str">
        <f t="shared" si="0"/>
        <v> PZ 22.344 </v>
      </c>
      <c r="B27" s="3" t="str">
        <f t="shared" si="1"/>
        <v>I</v>
      </c>
      <c r="C27" s="10">
        <f t="shared" si="2"/>
        <v>44137.392999999996</v>
      </c>
      <c r="D27" s="12" t="str">
        <f t="shared" si="3"/>
        <v>vis</v>
      </c>
      <c r="E27" s="49">
        <f>VLOOKUP(C27,Active!C$21:E$973,3,FALSE)</f>
        <v>-18163.071916292338</v>
      </c>
      <c r="F27" s="3" t="s">
        <v>56</v>
      </c>
      <c r="G27" s="12" t="str">
        <f t="shared" si="4"/>
        <v>44137.393</v>
      </c>
      <c r="H27" s="10">
        <f t="shared" si="5"/>
        <v>-23571</v>
      </c>
      <c r="I27" s="50" t="s">
        <v>107</v>
      </c>
      <c r="J27" s="51" t="s">
        <v>108</v>
      </c>
      <c r="K27" s="50">
        <v>-23571</v>
      </c>
      <c r="L27" s="50" t="s">
        <v>109</v>
      </c>
      <c r="M27" s="51" t="s">
        <v>61</v>
      </c>
      <c r="N27" s="51"/>
      <c r="O27" s="52" t="s">
        <v>62</v>
      </c>
      <c r="P27" s="52" t="s">
        <v>63</v>
      </c>
    </row>
    <row r="28" spans="1:16" ht="12.75" customHeight="1" thickBot="1" x14ac:dyDescent="0.25">
      <c r="A28" s="10" t="str">
        <f t="shared" si="0"/>
        <v> PZ 22.344 </v>
      </c>
      <c r="B28" s="3" t="str">
        <f t="shared" si="1"/>
        <v>I</v>
      </c>
      <c r="C28" s="10">
        <f t="shared" si="2"/>
        <v>44489.398999999998</v>
      </c>
      <c r="D28" s="12" t="str">
        <f t="shared" si="3"/>
        <v>vis</v>
      </c>
      <c r="E28" s="49">
        <f>VLOOKUP(C28,Active!C$21:E$973,3,FALSE)</f>
        <v>-17398.541857524433</v>
      </c>
      <c r="F28" s="3" t="s">
        <v>56</v>
      </c>
      <c r="G28" s="12" t="str">
        <f t="shared" si="4"/>
        <v>44489.399</v>
      </c>
      <c r="H28" s="10">
        <f t="shared" si="5"/>
        <v>-22630</v>
      </c>
      <c r="I28" s="50" t="s">
        <v>110</v>
      </c>
      <c r="J28" s="51" t="s">
        <v>111</v>
      </c>
      <c r="K28" s="50">
        <v>-22630</v>
      </c>
      <c r="L28" s="50" t="s">
        <v>112</v>
      </c>
      <c r="M28" s="51" t="s">
        <v>61</v>
      </c>
      <c r="N28" s="51"/>
      <c r="O28" s="52" t="s">
        <v>62</v>
      </c>
      <c r="P28" s="52" t="s">
        <v>63</v>
      </c>
    </row>
    <row r="29" spans="1:16" ht="12.75" customHeight="1" thickBot="1" x14ac:dyDescent="0.25">
      <c r="A29" s="10" t="str">
        <f t="shared" si="0"/>
        <v> PZ 22.344 </v>
      </c>
      <c r="B29" s="3" t="str">
        <f t="shared" si="1"/>
        <v>II</v>
      </c>
      <c r="C29" s="10">
        <f t="shared" si="2"/>
        <v>44899.264000000003</v>
      </c>
      <c r="D29" s="12" t="str">
        <f t="shared" si="3"/>
        <v>vis</v>
      </c>
      <c r="E29" s="49">
        <f>VLOOKUP(C29,Active!C$21:E$973,3,FALSE)</f>
        <v>-16508.346484329344</v>
      </c>
      <c r="F29" s="3" t="s">
        <v>56</v>
      </c>
      <c r="G29" s="12" t="str">
        <f t="shared" si="4"/>
        <v>44899.264</v>
      </c>
      <c r="H29" s="10">
        <f t="shared" si="5"/>
        <v>-21534.5</v>
      </c>
      <c r="I29" s="50" t="s">
        <v>113</v>
      </c>
      <c r="J29" s="51" t="s">
        <v>114</v>
      </c>
      <c r="K29" s="50">
        <v>-21534.5</v>
      </c>
      <c r="L29" s="50" t="s">
        <v>115</v>
      </c>
      <c r="M29" s="51" t="s">
        <v>61</v>
      </c>
      <c r="N29" s="51"/>
      <c r="O29" s="52" t="s">
        <v>62</v>
      </c>
      <c r="P29" s="52" t="s">
        <v>63</v>
      </c>
    </row>
    <row r="30" spans="1:16" ht="12.75" customHeight="1" thickBot="1" x14ac:dyDescent="0.25">
      <c r="A30" s="10" t="str">
        <f t="shared" si="0"/>
        <v> PZ 22.344 </v>
      </c>
      <c r="B30" s="3" t="str">
        <f t="shared" si="1"/>
        <v>I</v>
      </c>
      <c r="C30" s="10">
        <f t="shared" si="2"/>
        <v>44904.245000000003</v>
      </c>
      <c r="D30" s="12" t="str">
        <f t="shared" si="3"/>
        <v>vis</v>
      </c>
      <c r="E30" s="49">
        <f>VLOOKUP(C30,Active!C$21:E$973,3,FALSE)</f>
        <v>-16497.528134009401</v>
      </c>
      <c r="F30" s="3" t="s">
        <v>56</v>
      </c>
      <c r="G30" s="12" t="str">
        <f t="shared" si="4"/>
        <v>44904.245</v>
      </c>
      <c r="H30" s="10">
        <f t="shared" si="5"/>
        <v>-21521</v>
      </c>
      <c r="I30" s="50" t="s">
        <v>116</v>
      </c>
      <c r="J30" s="51" t="s">
        <v>117</v>
      </c>
      <c r="K30" s="50">
        <v>-21521</v>
      </c>
      <c r="L30" s="50" t="s">
        <v>60</v>
      </c>
      <c r="M30" s="51" t="s">
        <v>61</v>
      </c>
      <c r="N30" s="51"/>
      <c r="O30" s="52" t="s">
        <v>62</v>
      </c>
      <c r="P30" s="52" t="s">
        <v>63</v>
      </c>
    </row>
    <row r="31" spans="1:16" ht="12.75" customHeight="1" thickBot="1" x14ac:dyDescent="0.25">
      <c r="A31" s="10" t="str">
        <f t="shared" si="0"/>
        <v> PZ 22.344 </v>
      </c>
      <c r="B31" s="3" t="str">
        <f t="shared" si="1"/>
        <v>II</v>
      </c>
      <c r="C31" s="10">
        <f t="shared" si="2"/>
        <v>45231.396000000001</v>
      </c>
      <c r="D31" s="12" t="str">
        <f t="shared" si="3"/>
        <v>vis</v>
      </c>
      <c r="E31" s="49">
        <f>VLOOKUP(C31,Active!C$21:E$973,3,FALSE)</f>
        <v>-15786.981230672591</v>
      </c>
      <c r="F31" s="3" t="s">
        <v>56</v>
      </c>
      <c r="G31" s="12" t="str">
        <f t="shared" si="4"/>
        <v>45231.396</v>
      </c>
      <c r="H31" s="10">
        <f t="shared" si="5"/>
        <v>-20646.5</v>
      </c>
      <c r="I31" s="50" t="s">
        <v>118</v>
      </c>
      <c r="J31" s="51" t="s">
        <v>119</v>
      </c>
      <c r="K31" s="50">
        <v>-20646.5</v>
      </c>
      <c r="L31" s="50" t="s">
        <v>120</v>
      </c>
      <c r="M31" s="51" t="s">
        <v>61</v>
      </c>
      <c r="N31" s="51"/>
      <c r="O31" s="52" t="s">
        <v>62</v>
      </c>
      <c r="P31" s="52" t="s">
        <v>63</v>
      </c>
    </row>
    <row r="32" spans="1:16" ht="12.75" customHeight="1" thickBot="1" x14ac:dyDescent="0.25">
      <c r="A32" s="10" t="str">
        <f t="shared" si="0"/>
        <v> PZ 22.344 </v>
      </c>
      <c r="B32" s="3" t="str">
        <f t="shared" si="1"/>
        <v>I</v>
      </c>
      <c r="C32" s="10">
        <f t="shared" si="2"/>
        <v>45232.362000000001</v>
      </c>
      <c r="D32" s="12" t="str">
        <f t="shared" si="3"/>
        <v>vis</v>
      </c>
      <c r="E32" s="49">
        <f>VLOOKUP(C32,Active!C$21:E$973,3,FALSE)</f>
        <v>-15784.88315269446</v>
      </c>
      <c r="F32" s="3" t="s">
        <v>56</v>
      </c>
      <c r="G32" s="12" t="str">
        <f t="shared" si="4"/>
        <v>45232.362</v>
      </c>
      <c r="H32" s="10">
        <f t="shared" si="5"/>
        <v>-20644</v>
      </c>
      <c r="I32" s="50" t="s">
        <v>121</v>
      </c>
      <c r="J32" s="51" t="s">
        <v>122</v>
      </c>
      <c r="K32" s="50">
        <v>-20644</v>
      </c>
      <c r="L32" s="50" t="s">
        <v>123</v>
      </c>
      <c r="M32" s="51" t="s">
        <v>61</v>
      </c>
      <c r="N32" s="51"/>
      <c r="O32" s="52" t="s">
        <v>62</v>
      </c>
      <c r="P32" s="52" t="s">
        <v>63</v>
      </c>
    </row>
    <row r="33" spans="1:16" ht="12.75" customHeight="1" thickBot="1" x14ac:dyDescent="0.25">
      <c r="A33" s="10" t="str">
        <f t="shared" si="0"/>
        <v> PZ 22.344 </v>
      </c>
      <c r="B33" s="3" t="str">
        <f t="shared" si="1"/>
        <v>II</v>
      </c>
      <c r="C33" s="10">
        <f t="shared" si="2"/>
        <v>45234.372000000003</v>
      </c>
      <c r="D33" s="12" t="str">
        <f t="shared" si="3"/>
        <v>vis</v>
      </c>
      <c r="E33" s="49">
        <f>VLOOKUP(C33,Active!C$21:E$973,3,FALSE)</f>
        <v>-15780.517586715116</v>
      </c>
      <c r="F33" s="3" t="s">
        <v>56</v>
      </c>
      <c r="G33" s="12" t="str">
        <f t="shared" si="4"/>
        <v>45234.372</v>
      </c>
      <c r="H33" s="10">
        <f t="shared" si="5"/>
        <v>-20638.5</v>
      </c>
      <c r="I33" s="50" t="s">
        <v>124</v>
      </c>
      <c r="J33" s="51" t="s">
        <v>125</v>
      </c>
      <c r="K33" s="50">
        <v>-20638.5</v>
      </c>
      <c r="L33" s="50" t="s">
        <v>126</v>
      </c>
      <c r="M33" s="51" t="s">
        <v>61</v>
      </c>
      <c r="N33" s="51"/>
      <c r="O33" s="52" t="s">
        <v>62</v>
      </c>
      <c r="P33" s="52" t="s">
        <v>63</v>
      </c>
    </row>
    <row r="34" spans="1:16" ht="12.75" customHeight="1" thickBot="1" x14ac:dyDescent="0.25">
      <c r="A34" s="10" t="str">
        <f t="shared" si="0"/>
        <v> PZ 22.344 </v>
      </c>
      <c r="B34" s="3" t="str">
        <f t="shared" si="1"/>
        <v>II</v>
      </c>
      <c r="C34" s="10">
        <f t="shared" si="2"/>
        <v>45237.373</v>
      </c>
      <c r="D34" s="12" t="str">
        <f t="shared" si="3"/>
        <v>vis</v>
      </c>
      <c r="E34" s="49">
        <f>VLOOKUP(C34,Active!C$21:E$973,3,FALSE)</f>
        <v>-15773.999644673333</v>
      </c>
      <c r="F34" s="3" t="s">
        <v>56</v>
      </c>
      <c r="G34" s="12" t="str">
        <f t="shared" si="4"/>
        <v>45237.373</v>
      </c>
      <c r="H34" s="10">
        <f t="shared" si="5"/>
        <v>-20630.5</v>
      </c>
      <c r="I34" s="50" t="s">
        <v>127</v>
      </c>
      <c r="J34" s="51" t="s">
        <v>128</v>
      </c>
      <c r="K34" s="50">
        <v>-20630.5</v>
      </c>
      <c r="L34" s="50" t="s">
        <v>129</v>
      </c>
      <c r="M34" s="51" t="s">
        <v>61</v>
      </c>
      <c r="N34" s="51"/>
      <c r="O34" s="52" t="s">
        <v>62</v>
      </c>
      <c r="P34" s="52" t="s">
        <v>63</v>
      </c>
    </row>
    <row r="35" spans="1:16" ht="12.75" customHeight="1" thickBot="1" x14ac:dyDescent="0.25">
      <c r="A35" s="10" t="str">
        <f t="shared" si="0"/>
        <v> PZ 22.344 </v>
      </c>
      <c r="B35" s="3" t="str">
        <f t="shared" si="1"/>
        <v>II</v>
      </c>
      <c r="C35" s="10">
        <f t="shared" si="2"/>
        <v>45264.326999999997</v>
      </c>
      <c r="D35" s="12" t="str">
        <f t="shared" si="3"/>
        <v>vis</v>
      </c>
      <c r="E35" s="49">
        <f>VLOOKUP(C35,Active!C$21:E$973,3,FALSE)</f>
        <v>-15715.457622082728</v>
      </c>
      <c r="F35" s="3" t="s">
        <v>56</v>
      </c>
      <c r="G35" s="12" t="str">
        <f t="shared" si="4"/>
        <v>45264.327</v>
      </c>
      <c r="H35" s="10">
        <f t="shared" si="5"/>
        <v>-20558.5</v>
      </c>
      <c r="I35" s="50" t="s">
        <v>130</v>
      </c>
      <c r="J35" s="51" t="s">
        <v>131</v>
      </c>
      <c r="K35" s="50">
        <v>-20558.5</v>
      </c>
      <c r="L35" s="50" t="s">
        <v>132</v>
      </c>
      <c r="M35" s="51" t="s">
        <v>61</v>
      </c>
      <c r="N35" s="51"/>
      <c r="O35" s="52" t="s">
        <v>62</v>
      </c>
      <c r="P35" s="52" t="s">
        <v>63</v>
      </c>
    </row>
    <row r="36" spans="1:16" ht="12.75" customHeight="1" thickBot="1" x14ac:dyDescent="0.25">
      <c r="A36" s="10" t="str">
        <f t="shared" si="0"/>
        <v> PZ 22.344 </v>
      </c>
      <c r="B36" s="3" t="str">
        <f t="shared" si="1"/>
        <v>I</v>
      </c>
      <c r="C36" s="10">
        <f t="shared" si="2"/>
        <v>45266.364999999998</v>
      </c>
      <c r="D36" s="12" t="str">
        <f t="shared" si="3"/>
        <v>vis</v>
      </c>
      <c r="E36" s="49">
        <f>VLOOKUP(C36,Active!C$21:E$973,3,FALSE)</f>
        <v>-15711.031242248948</v>
      </c>
      <c r="F36" s="3" t="s">
        <v>56</v>
      </c>
      <c r="G36" s="12" t="str">
        <f t="shared" si="4"/>
        <v>45266.365</v>
      </c>
      <c r="H36" s="10">
        <f t="shared" si="5"/>
        <v>-20553</v>
      </c>
      <c r="I36" s="50" t="s">
        <v>133</v>
      </c>
      <c r="J36" s="51" t="s">
        <v>134</v>
      </c>
      <c r="K36" s="50">
        <v>-20553</v>
      </c>
      <c r="L36" s="50" t="s">
        <v>135</v>
      </c>
      <c r="M36" s="51" t="s">
        <v>61</v>
      </c>
      <c r="N36" s="51"/>
      <c r="O36" s="52" t="s">
        <v>62</v>
      </c>
      <c r="P36" s="52" t="s">
        <v>63</v>
      </c>
    </row>
    <row r="37" spans="1:16" ht="12.75" customHeight="1" thickBot="1" x14ac:dyDescent="0.25">
      <c r="A37" s="10" t="str">
        <f t="shared" si="0"/>
        <v> PZ 22.344 </v>
      </c>
      <c r="B37" s="3" t="str">
        <f t="shared" si="1"/>
        <v>I</v>
      </c>
      <c r="C37" s="10">
        <f t="shared" si="2"/>
        <v>45341.165999999997</v>
      </c>
      <c r="D37" s="12" t="str">
        <f t="shared" si="3"/>
        <v>vis</v>
      </c>
      <c r="E37" s="49">
        <f>VLOOKUP(C37,Active!C$21:E$973,3,FALSE)</f>
        <v>-15548.569202039698</v>
      </c>
      <c r="F37" s="3" t="s">
        <v>56</v>
      </c>
      <c r="G37" s="12" t="str">
        <f t="shared" si="4"/>
        <v>45341.166</v>
      </c>
      <c r="H37" s="10">
        <f t="shared" si="5"/>
        <v>-20353</v>
      </c>
      <c r="I37" s="50" t="s">
        <v>136</v>
      </c>
      <c r="J37" s="51" t="s">
        <v>137</v>
      </c>
      <c r="K37" s="50">
        <v>-20353</v>
      </c>
      <c r="L37" s="50" t="s">
        <v>72</v>
      </c>
      <c r="M37" s="51" t="s">
        <v>61</v>
      </c>
      <c r="N37" s="51"/>
      <c r="O37" s="52" t="s">
        <v>62</v>
      </c>
      <c r="P37" s="52" t="s">
        <v>63</v>
      </c>
    </row>
    <row r="38" spans="1:16" ht="12.75" customHeight="1" thickBot="1" x14ac:dyDescent="0.25">
      <c r="A38" s="10" t="str">
        <f t="shared" si="0"/>
        <v> PZ 22.344 </v>
      </c>
      <c r="B38" s="3" t="str">
        <f t="shared" si="1"/>
        <v>I</v>
      </c>
      <c r="C38" s="10">
        <f t="shared" si="2"/>
        <v>45594.440999999999</v>
      </c>
      <c r="D38" s="12" t="str">
        <f t="shared" si="3"/>
        <v>vis</v>
      </c>
      <c r="E38" s="49">
        <f>VLOOKUP(C38,Active!C$21:E$973,3,FALSE)</f>
        <v>-14998.475309792288</v>
      </c>
      <c r="F38" s="3" t="s">
        <v>56</v>
      </c>
      <c r="G38" s="12" t="str">
        <f t="shared" si="4"/>
        <v>45594.441</v>
      </c>
      <c r="H38" s="10">
        <f t="shared" si="5"/>
        <v>-19676</v>
      </c>
      <c r="I38" s="50" t="s">
        <v>138</v>
      </c>
      <c r="J38" s="51" t="s">
        <v>139</v>
      </c>
      <c r="K38" s="50">
        <v>-19676</v>
      </c>
      <c r="L38" s="50" t="s">
        <v>140</v>
      </c>
      <c r="M38" s="51" t="s">
        <v>61</v>
      </c>
      <c r="N38" s="51"/>
      <c r="O38" s="52" t="s">
        <v>62</v>
      </c>
      <c r="P38" s="52" t="s">
        <v>63</v>
      </c>
    </row>
    <row r="39" spans="1:16" ht="12.75" customHeight="1" thickBot="1" x14ac:dyDescent="0.25">
      <c r="A39" s="10" t="str">
        <f t="shared" si="0"/>
        <v> BBS 128 </v>
      </c>
      <c r="B39" s="3" t="str">
        <f t="shared" si="1"/>
        <v>I</v>
      </c>
      <c r="C39" s="10">
        <f t="shared" si="2"/>
        <v>52503.512999999999</v>
      </c>
      <c r="D39" s="12" t="str">
        <f t="shared" si="3"/>
        <v>vis</v>
      </c>
      <c r="E39" s="49">
        <f>VLOOKUP(C39,Active!C$21:E$973,3,FALSE)</f>
        <v>7.4996514063015729</v>
      </c>
      <c r="F39" s="3" t="s">
        <v>56</v>
      </c>
      <c r="G39" s="12" t="str">
        <f t="shared" si="4"/>
        <v>52503.5130</v>
      </c>
      <c r="H39" s="10">
        <f t="shared" si="5"/>
        <v>-1206</v>
      </c>
      <c r="I39" s="50" t="s">
        <v>141</v>
      </c>
      <c r="J39" s="51" t="s">
        <v>142</v>
      </c>
      <c r="K39" s="50">
        <v>-1206</v>
      </c>
      <c r="L39" s="50" t="s">
        <v>143</v>
      </c>
      <c r="M39" s="51" t="s">
        <v>144</v>
      </c>
      <c r="N39" s="51" t="s">
        <v>145</v>
      </c>
      <c r="O39" s="52" t="s">
        <v>146</v>
      </c>
      <c r="P39" s="52" t="s">
        <v>147</v>
      </c>
    </row>
    <row r="40" spans="1:16" ht="12.75" customHeight="1" thickBot="1" x14ac:dyDescent="0.25">
      <c r="A40" s="10" t="str">
        <f t="shared" si="0"/>
        <v>BAVM 186 </v>
      </c>
      <c r="B40" s="3" t="str">
        <f t="shared" si="1"/>
        <v>II</v>
      </c>
      <c r="C40" s="10">
        <f t="shared" si="2"/>
        <v>53943.487999999998</v>
      </c>
      <c r="D40" s="12" t="str">
        <f t="shared" si="3"/>
        <v>vis</v>
      </c>
      <c r="E40" s="49">
        <f>VLOOKUP(C40,Active!C$21:E$973,3,FALSE)</f>
        <v>3135.0150101624295</v>
      </c>
      <c r="F40" s="3" t="s">
        <v>56</v>
      </c>
      <c r="G40" s="12" t="str">
        <f t="shared" si="4"/>
        <v>53943.488</v>
      </c>
      <c r="H40" s="10">
        <f t="shared" si="5"/>
        <v>2643.5</v>
      </c>
      <c r="I40" s="50" t="s">
        <v>148</v>
      </c>
      <c r="J40" s="51" t="s">
        <v>149</v>
      </c>
      <c r="K40" s="50">
        <v>2643.5</v>
      </c>
      <c r="L40" s="50" t="s">
        <v>150</v>
      </c>
      <c r="M40" s="51" t="s">
        <v>151</v>
      </c>
      <c r="N40" s="51" t="s">
        <v>152</v>
      </c>
      <c r="O40" s="52" t="s">
        <v>153</v>
      </c>
      <c r="P40" s="53" t="s">
        <v>154</v>
      </c>
    </row>
    <row r="41" spans="1:16" ht="12.75" customHeight="1" thickBot="1" x14ac:dyDescent="0.25">
      <c r="A41" s="10" t="str">
        <f t="shared" si="0"/>
        <v>OEJV 0155 </v>
      </c>
      <c r="B41" s="3" t="str">
        <f t="shared" si="1"/>
        <v>I</v>
      </c>
      <c r="C41" s="10">
        <f t="shared" si="2"/>
        <v>55070.737999999998</v>
      </c>
      <c r="D41" s="12" t="str">
        <f t="shared" si="3"/>
        <v>vis</v>
      </c>
      <c r="E41" s="49">
        <f>VLOOKUP(C41,Active!C$21:E$973,3,FALSE)</f>
        <v>5583.3156321578454</v>
      </c>
      <c r="F41" s="3" t="s">
        <v>56</v>
      </c>
      <c r="G41" s="12" t="str">
        <f t="shared" si="4"/>
        <v>55070.7380</v>
      </c>
      <c r="H41" s="10">
        <f t="shared" si="5"/>
        <v>5657</v>
      </c>
      <c r="I41" s="50" t="s">
        <v>155</v>
      </c>
      <c r="J41" s="51" t="s">
        <v>156</v>
      </c>
      <c r="K41" s="50" t="s">
        <v>157</v>
      </c>
      <c r="L41" s="50" t="s">
        <v>158</v>
      </c>
      <c r="M41" s="51" t="s">
        <v>151</v>
      </c>
      <c r="N41" s="51" t="s">
        <v>159</v>
      </c>
      <c r="O41" s="52" t="s">
        <v>160</v>
      </c>
      <c r="P41" s="53" t="s">
        <v>161</v>
      </c>
    </row>
    <row r="42" spans="1:16" ht="12.75" customHeight="1" thickBot="1" x14ac:dyDescent="0.25">
      <c r="A42" s="10" t="str">
        <f t="shared" si="0"/>
        <v>IBVS 5960 </v>
      </c>
      <c r="B42" s="3" t="str">
        <f t="shared" si="1"/>
        <v>I</v>
      </c>
      <c r="C42" s="10">
        <f t="shared" si="2"/>
        <v>55480.720800000003</v>
      </c>
      <c r="D42" s="12" t="str">
        <f t="shared" si="3"/>
        <v>vis</v>
      </c>
      <c r="E42" s="49">
        <f>VLOOKUP(C42,Active!C$21:E$973,3,FALSE)</f>
        <v>6473.7668579262499</v>
      </c>
      <c r="F42" s="3" t="s">
        <v>56</v>
      </c>
      <c r="G42" s="12" t="str">
        <f t="shared" si="4"/>
        <v>55480.7208</v>
      </c>
      <c r="H42" s="10">
        <f t="shared" si="5"/>
        <v>6753</v>
      </c>
      <c r="I42" s="50" t="s">
        <v>162</v>
      </c>
      <c r="J42" s="51" t="s">
        <v>163</v>
      </c>
      <c r="K42" s="50" t="s">
        <v>164</v>
      </c>
      <c r="L42" s="50" t="s">
        <v>165</v>
      </c>
      <c r="M42" s="51" t="s">
        <v>151</v>
      </c>
      <c r="N42" s="51" t="s">
        <v>56</v>
      </c>
      <c r="O42" s="52" t="s">
        <v>166</v>
      </c>
      <c r="P42" s="53" t="s">
        <v>167</v>
      </c>
    </row>
    <row r="43" spans="1:16" ht="12.75" customHeight="1" thickBot="1" x14ac:dyDescent="0.25">
      <c r="A43" s="10" t="str">
        <f t="shared" si="0"/>
        <v>IBVS 6033 </v>
      </c>
      <c r="B43" s="3" t="str">
        <f t="shared" si="1"/>
        <v>I</v>
      </c>
      <c r="C43" s="10">
        <f t="shared" si="2"/>
        <v>55838.328099999999</v>
      </c>
      <c r="D43" s="12" t="str">
        <f t="shared" si="3"/>
        <v>vis</v>
      </c>
      <c r="E43" s="49">
        <f>VLOOKUP(C43,Active!C$21:E$973,3,FALSE)</f>
        <v>7250.4625110822417</v>
      </c>
      <c r="F43" s="3" t="s">
        <v>56</v>
      </c>
      <c r="G43" s="12" t="str">
        <f t="shared" si="4"/>
        <v>55838.3281</v>
      </c>
      <c r="H43" s="10">
        <f t="shared" si="5"/>
        <v>7709</v>
      </c>
      <c r="I43" s="50" t="s">
        <v>168</v>
      </c>
      <c r="J43" s="51" t="s">
        <v>169</v>
      </c>
      <c r="K43" s="50" t="s">
        <v>170</v>
      </c>
      <c r="L43" s="50" t="s">
        <v>171</v>
      </c>
      <c r="M43" s="51" t="s">
        <v>151</v>
      </c>
      <c r="N43" s="51" t="s">
        <v>172</v>
      </c>
      <c r="O43" s="52" t="s">
        <v>173</v>
      </c>
      <c r="P43" s="53" t="s">
        <v>174</v>
      </c>
    </row>
    <row r="44" spans="1:16" ht="12.75" customHeight="1" thickBot="1" x14ac:dyDescent="0.25">
      <c r="A44" s="10" t="str">
        <f t="shared" si="0"/>
        <v>IBVS 6042 </v>
      </c>
      <c r="B44" s="3" t="str">
        <f t="shared" si="1"/>
        <v>I</v>
      </c>
      <c r="C44" s="10">
        <f t="shared" si="2"/>
        <v>56227.731599999999</v>
      </c>
      <c r="D44" s="12" t="str">
        <f t="shared" si="3"/>
        <v>vis</v>
      </c>
      <c r="E44" s="49">
        <f>VLOOKUP(C44,Active!C$21:E$973,3,FALSE)</f>
        <v>8096.217074184653</v>
      </c>
      <c r="F44" s="3" t="s">
        <v>56</v>
      </c>
      <c r="G44" s="12" t="str">
        <f t="shared" si="4"/>
        <v>56227.7316</v>
      </c>
      <c r="H44" s="10">
        <f t="shared" si="5"/>
        <v>8750</v>
      </c>
      <c r="I44" s="50" t="s">
        <v>175</v>
      </c>
      <c r="J44" s="51" t="s">
        <v>176</v>
      </c>
      <c r="K44" s="50" t="s">
        <v>177</v>
      </c>
      <c r="L44" s="50" t="s">
        <v>178</v>
      </c>
      <c r="M44" s="51" t="s">
        <v>151</v>
      </c>
      <c r="N44" s="51" t="s">
        <v>56</v>
      </c>
      <c r="O44" s="52" t="s">
        <v>166</v>
      </c>
      <c r="P44" s="53" t="s">
        <v>179</v>
      </c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</sheetData>
  <phoneticPr fontId="8" type="noConversion"/>
  <hyperlinks>
    <hyperlink ref="A3" r:id="rId1"/>
    <hyperlink ref="P40" r:id="rId2" display="http://www.bav-astro.de/sfs/BAVM_link.php?BAVMnr=186"/>
    <hyperlink ref="P41" r:id="rId3" display="http://var.astro.cz/oejv/issues/oejv0155.pdf"/>
    <hyperlink ref="P42" r:id="rId4" display="http://www.konkoly.hu/cgi-bin/IBVS?5960"/>
    <hyperlink ref="P43" r:id="rId5" display="http://www.konkoly.hu/cgi-bin/IBVS?6033"/>
    <hyperlink ref="P44" r:id="rId6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2024-01-11T06:20:08Z</dcterms:modified>
</cp:coreProperties>
</file>