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90E129-E432-4844-9ECE-01225213B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" sheetId="1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26" i="3" l="1"/>
  <c r="F26" i="3"/>
  <c r="G26" i="3"/>
  <c r="I26" i="3"/>
  <c r="F22" i="3"/>
  <c r="G22" i="3"/>
  <c r="I22" i="3"/>
  <c r="E24" i="3"/>
  <c r="F24" i="3"/>
  <c r="G24" i="3"/>
  <c r="I24" i="3"/>
  <c r="E25" i="3"/>
  <c r="F25" i="3"/>
  <c r="G25" i="3"/>
  <c r="I25" i="3"/>
  <c r="E27" i="3"/>
  <c r="F27" i="3"/>
  <c r="G27" i="3"/>
  <c r="I27" i="3"/>
  <c r="Q26" i="3"/>
  <c r="G11" i="3"/>
  <c r="F11" i="3"/>
  <c r="E14" i="3"/>
  <c r="E15" i="3" s="1"/>
  <c r="Q27" i="3"/>
  <c r="E22" i="3"/>
  <c r="E23" i="3"/>
  <c r="F23" i="3"/>
  <c r="G23" i="3"/>
  <c r="I23" i="3"/>
  <c r="C21" i="3"/>
  <c r="C17" i="3"/>
  <c r="Q22" i="3"/>
  <c r="Q23" i="3"/>
  <c r="Q24" i="3"/>
  <c r="Q25" i="3"/>
  <c r="C7" i="2"/>
  <c r="G22" i="2"/>
  <c r="I22" i="2"/>
  <c r="E21" i="2"/>
  <c r="F21" i="2"/>
  <c r="G21" i="2"/>
  <c r="E22" i="2"/>
  <c r="F22" i="2"/>
  <c r="E23" i="2"/>
  <c r="F23" i="2"/>
  <c r="G23" i="2"/>
  <c r="I23" i="2"/>
  <c r="E24" i="2"/>
  <c r="F24" i="2"/>
  <c r="G24" i="2"/>
  <c r="I24" i="2"/>
  <c r="E15" i="2"/>
  <c r="E16" i="2" s="1"/>
  <c r="E17" i="2" s="1"/>
  <c r="C17" i="2"/>
  <c r="C21" i="2"/>
  <c r="Q21" i="2"/>
  <c r="Q22" i="2"/>
  <c r="Q23" i="2"/>
  <c r="Q24" i="2"/>
  <c r="Q25" i="2"/>
  <c r="E22" i="1"/>
  <c r="F22" i="1"/>
  <c r="Q22" i="1"/>
  <c r="Q23" i="1"/>
  <c r="Q24" i="1"/>
  <c r="Q25" i="1"/>
  <c r="C21" i="1"/>
  <c r="G21" i="1"/>
  <c r="C7" i="1"/>
  <c r="E24" i="1"/>
  <c r="F24" i="1"/>
  <c r="C8" i="1"/>
  <c r="E23" i="1"/>
  <c r="F23" i="1"/>
  <c r="G23" i="1"/>
  <c r="I23" i="1"/>
  <c r="E21" i="1"/>
  <c r="F21" i="1"/>
  <c r="E15" i="1"/>
  <c r="E16" i="1" s="1"/>
  <c r="E17" i="1" s="1"/>
  <c r="H21" i="1"/>
  <c r="H21" i="2"/>
  <c r="E21" i="3"/>
  <c r="F21" i="3"/>
  <c r="G21" i="3"/>
  <c r="E25" i="1"/>
  <c r="F25" i="1"/>
  <c r="G25" i="1"/>
  <c r="I25" i="1"/>
  <c r="G22" i="1"/>
  <c r="I22" i="1"/>
  <c r="Q21" i="1"/>
  <c r="G24" i="1"/>
  <c r="I24" i="1"/>
  <c r="Q21" i="3"/>
  <c r="C17" i="1"/>
  <c r="E25" i="2"/>
  <c r="F25" i="2"/>
  <c r="G25" i="2"/>
  <c r="I25" i="2"/>
  <c r="H21" i="3"/>
  <c r="C12" i="1"/>
  <c r="C16" i="1"/>
  <c r="D18" i="1"/>
  <c r="C12" i="2"/>
  <c r="C16" i="2"/>
  <c r="D18" i="2"/>
  <c r="C11" i="2"/>
  <c r="C11" i="1"/>
  <c r="O22" i="1"/>
  <c r="O23" i="1"/>
  <c r="O24" i="1"/>
  <c r="O25" i="1"/>
  <c r="O21" i="1"/>
  <c r="C15" i="1"/>
  <c r="O25" i="2"/>
  <c r="C15" i="2"/>
  <c r="O21" i="2"/>
  <c r="O22" i="2"/>
  <c r="O23" i="2"/>
  <c r="O24" i="2"/>
  <c r="C18" i="2"/>
  <c r="C18" i="1"/>
  <c r="C12" i="3"/>
  <c r="C16" i="3" l="1"/>
  <c r="D18" i="3" s="1"/>
  <c r="C11" i="3"/>
  <c r="O25" i="3" l="1"/>
  <c r="O26" i="3"/>
  <c r="O22" i="3"/>
  <c r="O27" i="3"/>
  <c r="O24" i="3"/>
  <c r="O23" i="3"/>
  <c r="C15" i="3"/>
  <c r="O21" i="3"/>
  <c r="C18" i="3" l="1"/>
  <c r="E16" i="3"/>
  <c r="E17" i="3" s="1"/>
</calcChain>
</file>

<file path=xl/sharedStrings.xml><?xml version="1.0" encoding="utf-8"?>
<sst xmlns="http://schemas.openxmlformats.org/spreadsheetml/2006/main" count="147" uniqueCount="51">
  <si>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</si>
  <si>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</si>
  <si>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</si>
  <si>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</si>
  <si>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</si>
  <si>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</si>
  <si>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</si>
  <si>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</si>
  <si>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</si>
  <si>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</si>
  <si>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</si>
  <si>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</si>
  <si>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</si>
  <si>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</si>
  <si>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</si>
  <si>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</si>
  <si>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</si>
  <si>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</si>
  <si>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</si>
  <si>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</si>
  <si>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</si>
  <si>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</si>
  <si>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</si>
  <si>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</si>
  <si>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</si>
  <si>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</si>
  <si>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</si>
  <si>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</si>
  <si>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</si>
  <si>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</si>
  <si>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</si>
  <si>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</si>
  <si>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</si>
  <si>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</si>
  <si>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</si>
  <si>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</si>
  <si>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</si>
  <si>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</si>
  <si>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GZ Aqr / GSC 05812-00035</t>
  </si>
  <si>
    <t>EW</t>
  </si>
  <si>
    <t>IBVS 5643</t>
  </si>
  <si>
    <t>Found by ToMcat (period-finding software)</t>
  </si>
  <si>
    <t>IBVS 6011</t>
  </si>
  <si>
    <t>II</t>
  </si>
  <si>
    <t>Add cycle</t>
  </si>
  <si>
    <t>Old Cycle</t>
  </si>
  <si>
    <t>Start of linear fit &gt;&gt;&gt;&gt;&gt;&gt;&gt;&gt;&gt;&gt;&gt;&gt;&gt;&gt;&gt;&gt;&gt;&gt;&gt;&gt;&gt;</t>
  </si>
  <si>
    <t>OEJV 0155</t>
  </si>
  <si>
    <t>I</t>
  </si>
  <si>
    <t>0,0000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</si>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</sst>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4" fillId="0" borderId="5" xfId="0" applyFont="1" applyBorder="1" applyAlignment="1"/>
    <xf numFmtId="0" fontId="0" fillId="0" borderId="6" xfId="0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/>
    <xf numFmtId="0" fontId="13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Aqr - O-C Diagr.</a:t>
            </a:r>
          </a:p>
        </c:rich>
      </c:tx>
      <c:layout>
        <c:manualLayout>
          <c:xMode val="edge"/>
          <c:yMode val="edge"/>
          <c:x val="0.383518557803095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47872802249036"/>
          <c:y val="0.15584415584415584"/>
          <c:w val="0.79873278923335145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6.3986954046413302E-6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89-476A-BDAD-6C0979E06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-6.4828861650312319E-4</c:v>
                </c:pt>
                <c:pt idx="2">
                  <c:v>1.2913797399960458E-4</c:v>
                </c:pt>
                <c:pt idx="3">
                  <c:v>1.4636881678598002E-4</c:v>
                </c:pt>
                <c:pt idx="4">
                  <c:v>3.6638312303693965E-4</c:v>
                </c:pt>
                <c:pt idx="5">
                  <c:v>5.2336384105728939E-3</c:v>
                </c:pt>
                <c:pt idx="6">
                  <c:v>8.1744637209339999E-3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89-476A-BDAD-6C0979E06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89-476A-BDAD-6C0979E06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89-476A-BDAD-6C0979E06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89-476A-BDAD-6C0979E06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89-476A-BDAD-6C0979E06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89-476A-BDAD-6C0979E06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-2.2231542599278377E-3</c:v>
                </c:pt>
                <c:pt idx="1">
                  <c:v>8.0742826748268E-4</c:v>
                </c:pt>
                <c:pt idx="2">
                  <c:v>8.0965991882834317E-4</c:v>
                </c:pt>
                <c:pt idx="3">
                  <c:v>8.1784264042910791E-4</c:v>
                </c:pt>
                <c:pt idx="4">
                  <c:v>8.554087714144371E-4</c:v>
                </c:pt>
                <c:pt idx="5">
                  <c:v>5.3469790464524113E-3</c:v>
                </c:pt>
                <c:pt idx="6">
                  <c:v>6.9939377395517944E-3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89-476A-BDAD-6C0979E0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549880"/>
        <c:axId val="1"/>
      </c:scatterChart>
      <c:valAx>
        <c:axId val="730549880"/>
        <c:scaling>
          <c:orientation val="minMax"/>
          <c:max val="50"/>
          <c:min val="-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2428050297198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54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45499997920226"/>
          <c:y val="0.91558441558441561"/>
          <c:w val="0.70998465128467503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Aqr - O-C Diagr.</a:t>
            </a:r>
          </a:p>
        </c:rich>
      </c:tx>
      <c:layout>
        <c:manualLayout>
          <c:xMode val="edge"/>
          <c:yMode val="edge"/>
          <c:x val="0.3877865801126004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3827606026065"/>
          <c:y val="0.14678942920199375"/>
          <c:w val="0.8076341898513461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6.3986954046413302E-6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6-40F4-A060-C088BE40C6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-6.4828861650312319E-4</c:v>
                </c:pt>
                <c:pt idx="2">
                  <c:v>1.2913797399960458E-4</c:v>
                </c:pt>
                <c:pt idx="3">
                  <c:v>1.4636881678598002E-4</c:v>
                </c:pt>
                <c:pt idx="4">
                  <c:v>3.6638312303693965E-4</c:v>
                </c:pt>
                <c:pt idx="5">
                  <c:v>5.2336384105728939E-3</c:v>
                </c:pt>
                <c:pt idx="6">
                  <c:v>8.1744637209339999E-3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86-40F4-A060-C088BE40C6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6-40F4-A060-C088BE40C6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86-40F4-A060-C088BE40C6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86-40F4-A060-C088BE40C6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86-40F4-A060-C088BE40C6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86-40F4-A060-C088BE40C6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-4138</c:v>
                </c:pt>
                <c:pt idx="1">
                  <c:v>-64</c:v>
                </c:pt>
                <c:pt idx="2">
                  <c:v>-61</c:v>
                </c:pt>
                <c:pt idx="3">
                  <c:v>-50</c:v>
                </c:pt>
                <c:pt idx="4">
                  <c:v>0.5</c:v>
                </c:pt>
                <c:pt idx="5">
                  <c:v>6038.5</c:v>
                </c:pt>
                <c:pt idx="6">
                  <c:v>8252.5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-2.2231542599278377E-3</c:v>
                </c:pt>
                <c:pt idx="1">
                  <c:v>8.0742826748268E-4</c:v>
                </c:pt>
                <c:pt idx="2">
                  <c:v>8.0965991882834317E-4</c:v>
                </c:pt>
                <c:pt idx="3">
                  <c:v>8.1784264042910791E-4</c:v>
                </c:pt>
                <c:pt idx="4">
                  <c:v>8.554087714144371E-4</c:v>
                </c:pt>
                <c:pt idx="5">
                  <c:v>5.3469790464524113E-3</c:v>
                </c:pt>
                <c:pt idx="6">
                  <c:v>6.9939377395517944E-3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86-40F4-A060-C088BE40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552400"/>
        <c:axId val="1"/>
      </c:scatterChart>
      <c:valAx>
        <c:axId val="73055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445953797759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552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48107631584219"/>
          <c:y val="0.9204921861831491"/>
          <c:w val="0.68396994650477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Aqr - O-C Diagr.</a:t>
            </a:r>
          </a:p>
        </c:rich>
      </c:tx>
      <c:layout>
        <c:manualLayout>
          <c:xMode val="edge"/>
          <c:yMode val="edge"/>
          <c:x val="0.386850795026768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723926380368099"/>
          <c:w val="0.821102143513091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2-43D1-B51B-7862E7C7E27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-6.2334200003533624E-2</c:v>
                </c:pt>
                <c:pt idx="2">
                  <c:v>-5.06790500076022E-2</c:v>
                </c:pt>
                <c:pt idx="3">
                  <c:v>-6.1231350009620655E-2</c:v>
                </c:pt>
                <c:pt idx="4">
                  <c:v>-5.4493800009367988E-2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2-43D1-B51B-7862E7C7E27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2-43D1-B51B-7862E7C7E27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2-43D1-B51B-7862E7C7E27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2-43D1-B51B-7862E7C7E27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92-43D1-B51B-7862E7C7E27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92-43D1-B51B-7862E7C7E27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4802</c:v>
                </c:pt>
                <c:pt idx="2">
                  <c:v>4805.5</c:v>
                </c:pt>
                <c:pt idx="3">
                  <c:v>4818.5</c:v>
                </c:pt>
                <c:pt idx="4">
                  <c:v>4878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-4.2471886856694507E-5</c:v>
                </c:pt>
                <c:pt idx="1">
                  <c:v>-5.6889863460687425E-2</c:v>
                </c:pt>
                <c:pt idx="2">
                  <c:v>-5.6931297419560482E-2</c:v>
                </c:pt>
                <c:pt idx="3">
                  <c:v>-5.7085194981088966E-2</c:v>
                </c:pt>
                <c:pt idx="4">
                  <c:v>-5.7789572281930893E-2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92-43D1-B51B-7862E7C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42808"/>
        <c:axId val="1"/>
      </c:scatterChart>
      <c:valAx>
        <c:axId val="75224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77096326261969"/>
          <c:y val="0.92024539877300615"/>
          <c:w val="0.685016253702232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Aqr - O-C Diagr.</a:t>
            </a:r>
          </a:p>
        </c:rich>
      </c:tx>
      <c:layout>
        <c:manualLayout>
          <c:xMode val="edge"/>
          <c:yMode val="edge"/>
          <c:x val="0.383518557803095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2213153889191"/>
          <c:y val="0.15584415584415584"/>
          <c:w val="0.82250459843672497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6-4102-BB15-A3A69F437AC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0.58641336259461241</c:v>
                </c:pt>
                <c:pt idx="2">
                  <c:v>0.58764236258866731</c:v>
                </c:pt>
                <c:pt idx="3">
                  <c:v>0.58931536258751294</c:v>
                </c:pt>
                <c:pt idx="4">
                  <c:v>0.59713686259055976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6-4102-BB15-A3A69F437AC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6-4102-BB15-A3A69F437AC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6-4102-BB15-A3A69F437AC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6-4102-BB15-A3A69F437AC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6-4102-BB15-A3A69F437AC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6-4102-BB15-A3A69F437AC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-1.062140668456335E-5</c:v>
                </c:pt>
                <c:pt idx="1">
                  <c:v>0.58719295726578191</c:v>
                </c:pt>
                <c:pt idx="2">
                  <c:v>0.58762535270277239</c:v>
                </c:pt>
                <c:pt idx="3">
                  <c:v>0.58921080263840442</c:v>
                </c:pt>
                <c:pt idx="4">
                  <c:v>0.59648945916107809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6-4102-BB15-A3A69F43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61168"/>
        <c:axId val="1"/>
      </c:scatterChart>
      <c:valAx>
        <c:axId val="752261168"/>
        <c:scaling>
          <c:orientation val="minMax"/>
          <c:max val="45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7973054477542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2"/>
          <c:min val="0.560000000000000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6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919192549425775"/>
          <c:y val="0.91558441558441561"/>
          <c:w val="0.91917657677893283"/>
          <c:h val="0.98051948051948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Aqr - O-C Diagr.</a:t>
            </a:r>
          </a:p>
        </c:rich>
      </c:tx>
      <c:layout>
        <c:manualLayout>
          <c:xMode val="edge"/>
          <c:yMode val="edge"/>
          <c:x val="0.3877865801126004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678942920199375"/>
          <c:w val="0.830534970281913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2-4075-BBC0-8B8D11766C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0.58641336259461241</c:v>
                </c:pt>
                <c:pt idx="2">
                  <c:v>0.58764236258866731</c:v>
                </c:pt>
                <c:pt idx="3">
                  <c:v>0.58931536258751294</c:v>
                </c:pt>
                <c:pt idx="4">
                  <c:v>0.59713686259055976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2-4075-BBC0-8B8D11766C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72-4075-BBC0-8B8D11766C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72-4075-BBC0-8B8D11766C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72-4075-BBC0-8B8D11766C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72-4075-BBC0-8B8D11766C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72-4075-BBC0-8B8D11766C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4074.0733719999998</c:v>
                </c:pt>
                <c:pt idx="2">
                  <c:v>4077.0733719999998</c:v>
                </c:pt>
                <c:pt idx="3">
                  <c:v>4088.0733719999998</c:v>
                </c:pt>
                <c:pt idx="4">
                  <c:v>4138.5733719999998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-1.062140668456335E-5</c:v>
                </c:pt>
                <c:pt idx="1">
                  <c:v>0.58719295726578191</c:v>
                </c:pt>
                <c:pt idx="2">
                  <c:v>0.58762535270277239</c:v>
                </c:pt>
                <c:pt idx="3">
                  <c:v>0.58921080263840442</c:v>
                </c:pt>
                <c:pt idx="4">
                  <c:v>0.59648945916107809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72-4075-BBC0-8B8D11766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60088"/>
        <c:axId val="1"/>
      </c:scatterChart>
      <c:valAx>
        <c:axId val="75226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6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137420608683456"/>
          <c:y val="0.9204921861831491"/>
          <c:w val="0.9053441525916130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152400</xdr:rowOff>
    </xdr:from>
    <xdr:to>
      <xdr:col>27</xdr:col>
      <xdr:colOff>304800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9E41D24A-D036-849E-114F-1872EA570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0</xdr:row>
      <xdr:rowOff>133350</xdr:rowOff>
    </xdr:from>
    <xdr:to>
      <xdr:col>18</xdr:col>
      <xdr:colOff>95250</xdr:colOff>
      <xdr:row>18</xdr:row>
      <xdr:rowOff>123825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3D32D1EA-41D5-0C8E-F342-233AD4ADB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76200</xdr:rowOff>
    </xdr:from>
    <xdr:to>
      <xdr:col>17</xdr:col>
      <xdr:colOff>66675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765ED8-78C0-1EC9-15AF-0DD61689A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16</xdr:col>
      <xdr:colOff>485775</xdr:colOff>
      <xdr:row>17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1316990-96AE-AAAB-40F0-66BA5E8DD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77AE78F6-E03E-A046-5C06-2FB2FEC20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25</v>
      </c>
      <c r="B2" t="s">
        <v>39</v>
      </c>
      <c r="C2" s="3"/>
      <c r="D2" s="3"/>
    </row>
    <row r="3" spans="1:7" ht="13.5" thickBot="1" x14ac:dyDescent="0.25"/>
    <row r="4" spans="1:7" ht="13.5" thickBot="1" x14ac:dyDescent="0.25">
      <c r="A4" s="5" t="s">
        <v>0</v>
      </c>
      <c r="C4" s="22">
        <v>51453.713000000003</v>
      </c>
      <c r="D4" s="23">
        <v>0.30272710000000003</v>
      </c>
    </row>
    <row r="6" spans="1:7" x14ac:dyDescent="0.2">
      <c r="A6" s="5" t="s">
        <v>1</v>
      </c>
    </row>
    <row r="7" spans="1:7" x14ac:dyDescent="0.2">
      <c r="A7" t="s">
        <v>2</v>
      </c>
      <c r="C7">
        <v>52930.182529854639</v>
      </c>
    </row>
    <row r="8" spans="1:7" x14ac:dyDescent="0.2">
      <c r="A8" t="s">
        <v>3</v>
      </c>
      <c r="C8">
        <v>0.35680752446914743</v>
      </c>
      <c r="D8" s="29" t="s">
        <v>41</v>
      </c>
    </row>
    <row r="9" spans="1:7" x14ac:dyDescent="0.2">
      <c r="A9" s="9" t="s">
        <v>32</v>
      </c>
      <c r="B9" s="10"/>
      <c r="C9" s="11">
        <v>-9.5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30">
        <f ca="1">INTERCEPT(INDIRECT($G$11):G992,INDIRECT($F$11):F992)</f>
        <v>8.5503682952349329E-4</v>
      </c>
      <c r="D11" s="3"/>
      <c r="E11" s="10"/>
      <c r="F11" s="31" t="str">
        <f>"F"&amp;E19</f>
        <v>F21</v>
      </c>
      <c r="G11" s="28" t="str">
        <f>"G"&amp;E19</f>
        <v>G21</v>
      </c>
    </row>
    <row r="12" spans="1:7" x14ac:dyDescent="0.2">
      <c r="A12" s="10" t="s">
        <v>17</v>
      </c>
      <c r="B12" s="10"/>
      <c r="C12" s="30">
        <f ca="1">SLOPE(INDIRECT($G$11):G992,INDIRECT($F$11):F992)</f>
        <v>7.4388378188770685E-7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44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NOW()+15018.5+$C$9/24</f>
        <v>60320.806461921296</v>
      </c>
    </row>
    <row r="15" spans="1:7" x14ac:dyDescent="0.2">
      <c r="A15" s="12" t="s">
        <v>18</v>
      </c>
      <c r="B15" s="10"/>
      <c r="C15" s="13">
        <f ca="1">(C7+C11)+(C8+C12)*INT(MAX(F21:F3533))</f>
        <v>55874.565215339841</v>
      </c>
      <c r="D15" s="14" t="s">
        <v>45</v>
      </c>
      <c r="E15" s="15">
        <f ca="1">ROUND(2*(E14-$C$7)/$C$8,0)/2+E13</f>
        <v>20714</v>
      </c>
    </row>
    <row r="16" spans="1:7" x14ac:dyDescent="0.2">
      <c r="A16" s="16" t="s">
        <v>4</v>
      </c>
      <c r="B16" s="10"/>
      <c r="C16" s="17">
        <f ca="1">+C8+C12</f>
        <v>0.35680826835292934</v>
      </c>
      <c r="D16" s="14" t="s">
        <v>35</v>
      </c>
      <c r="E16" s="28">
        <f ca="1">ROUND(2*(E14-$C$15)/$C$16,0)/2+E13</f>
        <v>12462</v>
      </c>
    </row>
    <row r="17" spans="1:17" ht="13.5" thickBot="1" x14ac:dyDescent="0.25">
      <c r="A17" s="14" t="s">
        <v>31</v>
      </c>
      <c r="B17" s="10"/>
      <c r="C17" s="10">
        <f>COUNT(C21:C2191)</f>
        <v>7</v>
      </c>
      <c r="D17" s="14" t="s">
        <v>36</v>
      </c>
      <c r="E17" s="18">
        <f ca="1">+$C$15+$C$16*E16-15018.5-$C$9/24</f>
        <v>45303.005688887381</v>
      </c>
    </row>
    <row r="18" spans="1:17" ht="14.25" thickTop="1" thickBot="1" x14ac:dyDescent="0.25">
      <c r="A18" s="16" t="s">
        <v>5</v>
      </c>
      <c r="B18" s="10"/>
      <c r="C18" s="19">
        <f ca="1">+C15</f>
        <v>55874.565215339841</v>
      </c>
      <c r="D18" s="20">
        <f ca="1">+C16</f>
        <v>0.35680826835292934</v>
      </c>
      <c r="E18" s="21" t="s">
        <v>37</v>
      </c>
    </row>
    <row r="19" spans="1:17" ht="13.5" thickTop="1" x14ac:dyDescent="0.2">
      <c r="A19" s="32" t="s">
        <v>46</v>
      </c>
      <c r="E19" s="33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50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8">
        <f>+C4</f>
        <v>51453.713000000003</v>
      </c>
      <c r="D21" s="8" t="s">
        <v>14</v>
      </c>
      <c r="E21">
        <f t="shared" ref="E21:E27" si="0">+(C21-C$7)/C$8</f>
        <v>-4137.9999820668127</v>
      </c>
      <c r="F21">
        <f t="shared" ref="F21:F27" si="1">ROUND(2*E21,0)/2</f>
        <v>-4138</v>
      </c>
      <c r="G21">
        <f t="shared" ref="G21:G27" si="2">+C21-(C$7+F21*C$8)</f>
        <v>6.3986954046413302E-6</v>
      </c>
      <c r="H21" s="28">
        <f>G21</f>
        <v>6.3986954046413302E-6</v>
      </c>
      <c r="O21">
        <f t="shared" ref="O21:O27" ca="1" si="3">+C$11+C$12*$F21</f>
        <v>-2.2231542599278377E-3</v>
      </c>
      <c r="Q21" s="2">
        <f t="shared" ref="Q21:Q27" si="4">+C21-15018.5</f>
        <v>36435.213000000003</v>
      </c>
    </row>
    <row r="22" spans="1:17" x14ac:dyDescent="0.2">
      <c r="A22" s="24" t="s">
        <v>40</v>
      </c>
      <c r="B22" s="25"/>
      <c r="C22" s="26">
        <v>52907.3462</v>
      </c>
      <c r="D22" s="26">
        <v>6.9999999999999999E-4</v>
      </c>
      <c r="E22">
        <f t="shared" si="0"/>
        <v>-64.001816914076343</v>
      </c>
      <c r="F22">
        <f t="shared" si="1"/>
        <v>-64</v>
      </c>
      <c r="G22">
        <f t="shared" si="2"/>
        <v>-6.4828861650312319E-4</v>
      </c>
      <c r="I22">
        <f t="shared" ref="I22:I27" si="5">+G22</f>
        <v>-6.4828861650312319E-4</v>
      </c>
      <c r="O22">
        <f t="shared" ca="1" si="3"/>
        <v>8.0742826748268E-4</v>
      </c>
      <c r="Q22" s="2">
        <f t="shared" si="4"/>
        <v>37888.8462</v>
      </c>
    </row>
    <row r="23" spans="1:17" x14ac:dyDescent="0.2">
      <c r="A23" s="24" t="s">
        <v>40</v>
      </c>
      <c r="B23" s="25"/>
      <c r="C23" s="26">
        <v>52908.417399999998</v>
      </c>
      <c r="D23" s="26">
        <v>1.1999999999999999E-3</v>
      </c>
      <c r="E23">
        <f t="shared" si="0"/>
        <v>-60.999638073839684</v>
      </c>
      <c r="F23">
        <f t="shared" si="1"/>
        <v>-61</v>
      </c>
      <c r="G23">
        <f t="shared" si="2"/>
        <v>1.2913797399960458E-4</v>
      </c>
      <c r="I23">
        <f t="shared" si="5"/>
        <v>1.2913797399960458E-4</v>
      </c>
      <c r="O23">
        <f t="shared" ca="1" si="3"/>
        <v>8.0965991882834317E-4</v>
      </c>
      <c r="Q23" s="2">
        <f t="shared" si="4"/>
        <v>37889.917399999998</v>
      </c>
    </row>
    <row r="24" spans="1:17" x14ac:dyDescent="0.2">
      <c r="A24" s="24" t="s">
        <v>40</v>
      </c>
      <c r="B24" s="27"/>
      <c r="C24" s="26">
        <v>52912.342299999997</v>
      </c>
      <c r="D24" s="26">
        <v>6.9999999999999999E-4</v>
      </c>
      <c r="E24" s="34">
        <f t="shared" si="0"/>
        <v>-49.999589782151993</v>
      </c>
      <c r="F24">
        <f t="shared" si="1"/>
        <v>-50</v>
      </c>
      <c r="G24">
        <f t="shared" si="2"/>
        <v>1.4636881678598002E-4</v>
      </c>
      <c r="I24">
        <f t="shared" si="5"/>
        <v>1.4636881678598002E-4</v>
      </c>
      <c r="O24">
        <f t="shared" ca="1" si="3"/>
        <v>8.1784264042910791E-4</v>
      </c>
      <c r="Q24" s="2">
        <f t="shared" si="4"/>
        <v>37893.842299999997</v>
      </c>
    </row>
    <row r="25" spans="1:17" x14ac:dyDescent="0.2">
      <c r="A25" s="24" t="s">
        <v>40</v>
      </c>
      <c r="B25" s="27"/>
      <c r="C25" s="26">
        <v>52930.361299999997</v>
      </c>
      <c r="D25" s="26">
        <v>2.9999999999999997E-4</v>
      </c>
      <c r="E25" s="34">
        <f t="shared" si="0"/>
        <v>0.50102683687423422</v>
      </c>
      <c r="F25">
        <f t="shared" si="1"/>
        <v>0.5</v>
      </c>
      <c r="G25">
        <f t="shared" si="2"/>
        <v>3.6638312303693965E-4</v>
      </c>
      <c r="I25">
        <f t="shared" si="5"/>
        <v>3.6638312303693965E-4</v>
      </c>
      <c r="O25">
        <f t="shared" ca="1" si="3"/>
        <v>8.554087714144371E-4</v>
      </c>
      <c r="Q25" s="2">
        <f t="shared" si="4"/>
        <v>37911.861299999997</v>
      </c>
    </row>
    <row r="26" spans="1:17" x14ac:dyDescent="0.2">
      <c r="A26" s="36" t="s">
        <v>47</v>
      </c>
      <c r="B26" s="37" t="s">
        <v>48</v>
      </c>
      <c r="C26" s="38">
        <v>55084.77</v>
      </c>
      <c r="D26" s="36" t="s">
        <v>49</v>
      </c>
      <c r="E26" s="34">
        <f t="shared" si="0"/>
        <v>6038.5146679597601</v>
      </c>
      <c r="F26">
        <f t="shared" si="1"/>
        <v>6038.5</v>
      </c>
      <c r="G26">
        <f t="shared" si="2"/>
        <v>5.2336384105728939E-3</v>
      </c>
      <c r="I26">
        <f t="shared" si="5"/>
        <v>5.2336384105728939E-3</v>
      </c>
      <c r="O26">
        <f t="shared" ca="1" si="3"/>
        <v>5.3469790464524113E-3</v>
      </c>
      <c r="Q26" s="2">
        <f t="shared" si="4"/>
        <v>40066.269999999997</v>
      </c>
    </row>
    <row r="27" spans="1:17" x14ac:dyDescent="0.2">
      <c r="A27" s="35" t="s">
        <v>42</v>
      </c>
      <c r="B27" s="27" t="s">
        <v>43</v>
      </c>
      <c r="C27" s="35">
        <v>55874.7448</v>
      </c>
      <c r="D27" s="35">
        <v>5.0000000000000001E-4</v>
      </c>
      <c r="E27" s="34">
        <f t="shared" si="0"/>
        <v>8252.5229100093511</v>
      </c>
      <c r="F27">
        <f t="shared" si="1"/>
        <v>8252.5</v>
      </c>
      <c r="G27">
        <f t="shared" si="2"/>
        <v>8.1744637209339999E-3</v>
      </c>
      <c r="I27">
        <f t="shared" si="5"/>
        <v>8.1744637209339999E-3</v>
      </c>
      <c r="O27">
        <f t="shared" ca="1" si="3"/>
        <v>6.9939377395517944E-3</v>
      </c>
      <c r="Q27" s="2">
        <f t="shared" si="4"/>
        <v>40856.2448</v>
      </c>
    </row>
    <row r="28" spans="1:17" x14ac:dyDescent="0.2">
      <c r="C28" s="8"/>
      <c r="D28" s="8"/>
      <c r="Q28" s="2"/>
    </row>
    <row r="29" spans="1:17" x14ac:dyDescent="0.2">
      <c r="C29" s="8"/>
      <c r="D29" s="8"/>
      <c r="Q29" s="2"/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D35" sqref="D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38</v>
      </c>
    </row>
    <row r="2" spans="1:5" x14ac:dyDescent="0.2">
      <c r="A2" t="s">
        <v>25</v>
      </c>
      <c r="B2" t="s">
        <v>39</v>
      </c>
      <c r="C2" s="3"/>
      <c r="D2" s="3"/>
    </row>
    <row r="3" spans="1:5" ht="13.5" thickBot="1" x14ac:dyDescent="0.25"/>
    <row r="4" spans="1:5" ht="13.5" thickBot="1" x14ac:dyDescent="0.25">
      <c r="A4" s="5" t="s">
        <v>0</v>
      </c>
      <c r="C4" s="22">
        <v>51453.713000000003</v>
      </c>
      <c r="D4" s="23">
        <v>0.30272710000000003</v>
      </c>
    </row>
    <row r="6" spans="1:5" x14ac:dyDescent="0.2">
      <c r="A6" s="5" t="s">
        <v>1</v>
      </c>
    </row>
    <row r="7" spans="1:5" x14ac:dyDescent="0.2">
      <c r="A7" t="s">
        <v>2</v>
      </c>
      <c r="C7">
        <f>+C4</f>
        <v>51453.713000000003</v>
      </c>
    </row>
    <row r="8" spans="1:5" x14ac:dyDescent="0.2">
      <c r="A8" t="s">
        <v>3</v>
      </c>
      <c r="C8">
        <f>+D4</f>
        <v>0.30272710000000003</v>
      </c>
    </row>
    <row r="9" spans="1:5" x14ac:dyDescent="0.2">
      <c r="A9" s="9" t="s">
        <v>32</v>
      </c>
      <c r="B9" s="10"/>
      <c r="C9" s="11">
        <v>8</v>
      </c>
      <c r="D9" s="10" t="s">
        <v>33</v>
      </c>
      <c r="E9" s="10"/>
    </row>
    <row r="10" spans="1: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5" x14ac:dyDescent="0.2">
      <c r="A11" s="10" t="s">
        <v>16</v>
      </c>
      <c r="B11" s="10"/>
      <c r="C11" s="10">
        <f>INTERCEPT(G21:G998,F21:F998)</f>
        <v>-4.2471886856694507E-5</v>
      </c>
      <c r="D11" s="3"/>
      <c r="E11" s="10"/>
    </row>
    <row r="12" spans="1:5" x14ac:dyDescent="0.2">
      <c r="A12" s="10" t="s">
        <v>17</v>
      </c>
      <c r="B12" s="10"/>
      <c r="C12" s="10">
        <f>SLOPE(G21:G998,F21:F998)</f>
        <v>-1.1838273963729848E-5</v>
      </c>
      <c r="D12" s="3"/>
      <c r="E12" s="10"/>
    </row>
    <row r="13" spans="1:5" x14ac:dyDescent="0.2">
      <c r="A13" s="10" t="s">
        <v>20</v>
      </c>
      <c r="B13" s="10"/>
      <c r="C13" s="3" t="s">
        <v>14</v>
      </c>
      <c r="D13" s="3"/>
      <c r="E13" s="10"/>
    </row>
    <row r="14" spans="1:5" x14ac:dyDescent="0.2">
      <c r="A14" s="10"/>
      <c r="B14" s="10"/>
      <c r="C14" s="10"/>
      <c r="D14" s="10"/>
      <c r="E14" s="10"/>
    </row>
    <row r="15" spans="1:5" x14ac:dyDescent="0.2">
      <c r="A15" s="12" t="s">
        <v>18</v>
      </c>
      <c r="B15" s="10"/>
      <c r="C15" s="13">
        <f>(C7+C11)+(C8+C12)*INT(MAX(F21:F3533))</f>
        <v>52930.358004227717</v>
      </c>
      <c r="D15" s="14" t="s">
        <v>34</v>
      </c>
      <c r="E15" s="15">
        <f ca="1">TODAY()+15018.5-B9/24</f>
        <v>60320.5</v>
      </c>
    </row>
    <row r="16" spans="1:5" x14ac:dyDescent="0.2">
      <c r="A16" s="16" t="s">
        <v>4</v>
      </c>
      <c r="B16" s="10"/>
      <c r="C16" s="17">
        <f>+C8+C12</f>
        <v>0.3027152617260363</v>
      </c>
      <c r="D16" s="14" t="s">
        <v>35</v>
      </c>
      <c r="E16" s="15">
        <f ca="1">ROUND(2*(E15-C15)/C16,0)/2+1</f>
        <v>24414</v>
      </c>
    </row>
    <row r="17" spans="1:17" ht="13.5" thickBot="1" x14ac:dyDescent="0.25">
      <c r="A17" s="14" t="s">
        <v>31</v>
      </c>
      <c r="B17" s="10"/>
      <c r="C17" s="10">
        <f>COUNT(C21:C2191)</f>
        <v>5</v>
      </c>
      <c r="D17" s="14" t="s">
        <v>36</v>
      </c>
      <c r="E17" s="18">
        <f ca="1">+C15+C16*E16-15018.5-C9/24</f>
        <v>45302.015070673828</v>
      </c>
    </row>
    <row r="18" spans="1:17" ht="14.25" thickTop="1" thickBot="1" x14ac:dyDescent="0.25">
      <c r="A18" s="16" t="s">
        <v>5</v>
      </c>
      <c r="B18" s="10"/>
      <c r="C18" s="19">
        <f>+C15</f>
        <v>52930.358004227717</v>
      </c>
      <c r="D18" s="20">
        <f>+C16</f>
        <v>0.3027152617260363</v>
      </c>
      <c r="E18" s="21" t="s">
        <v>37</v>
      </c>
    </row>
    <row r="19" spans="1:17" ht="13.5" thickTop="1" x14ac:dyDescent="0.2"/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8">
        <f>+C4</f>
        <v>51453.713000000003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-4.2471886856694507E-5</v>
      </c>
      <c r="Q21" s="2">
        <f>+C21-15018.5</f>
        <v>36435.213000000003</v>
      </c>
    </row>
    <row r="22" spans="1:17" x14ac:dyDescent="0.2">
      <c r="A22" s="24" t="s">
        <v>40</v>
      </c>
      <c r="B22" s="25"/>
      <c r="C22" s="26">
        <v>52907.3462</v>
      </c>
      <c r="D22" s="26">
        <v>6.9999999999999999E-4</v>
      </c>
      <c r="E22">
        <f>+(C22-C$7)/C$8</f>
        <v>4801.7940911137339</v>
      </c>
      <c r="F22">
        <f>ROUND(2*E22,0)/2</f>
        <v>4802</v>
      </c>
      <c r="G22">
        <f>+C22-(C$7+F22*C$8)</f>
        <v>-6.2334200003533624E-2</v>
      </c>
      <c r="I22">
        <f>+G22</f>
        <v>-6.2334200003533624E-2</v>
      </c>
      <c r="O22">
        <f>+C$11+C$12*$F22</f>
        <v>-5.6889863460687425E-2</v>
      </c>
      <c r="Q22" s="2">
        <f>+C22-15018.5</f>
        <v>37888.8462</v>
      </c>
    </row>
    <row r="23" spans="1:17" x14ac:dyDescent="0.2">
      <c r="A23" s="24" t="s">
        <v>40</v>
      </c>
      <c r="B23" s="25"/>
      <c r="C23" s="26">
        <v>52908.417399999998</v>
      </c>
      <c r="D23" s="26">
        <v>1.1999999999999999E-3</v>
      </c>
      <c r="E23">
        <f>+(C23-C$7)/C$8</f>
        <v>4805.3325916311915</v>
      </c>
      <c r="F23">
        <f>ROUND(2*E23,0)/2</f>
        <v>4805.5</v>
      </c>
      <c r="G23">
        <f>+C23-(C$7+F23*C$8)</f>
        <v>-5.06790500076022E-2</v>
      </c>
      <c r="I23">
        <f>+G23</f>
        <v>-5.06790500076022E-2</v>
      </c>
      <c r="O23">
        <f>+C$11+C$12*$F23</f>
        <v>-5.6931297419560482E-2</v>
      </c>
      <c r="Q23" s="2">
        <f>+C23-15018.5</f>
        <v>37889.917399999998</v>
      </c>
    </row>
    <row r="24" spans="1:17" x14ac:dyDescent="0.2">
      <c r="A24" s="24" t="s">
        <v>40</v>
      </c>
      <c r="B24" s="27"/>
      <c r="C24" s="26">
        <v>52912.342299999997</v>
      </c>
      <c r="D24" s="26">
        <v>6.9999999999999999E-4</v>
      </c>
      <c r="E24">
        <f>+(C24-C$7)/C$8</f>
        <v>4818.2977341638498</v>
      </c>
      <c r="F24">
        <f>ROUND(2*E24,0)/2</f>
        <v>4818.5</v>
      </c>
      <c r="G24">
        <f>+C24-(C$7+F24*C$8)</f>
        <v>-6.1231350009620655E-2</v>
      </c>
      <c r="I24">
        <f>+G24</f>
        <v>-6.1231350009620655E-2</v>
      </c>
      <c r="O24">
        <f>+C$11+C$12*$F24</f>
        <v>-5.7085194981088966E-2</v>
      </c>
      <c r="Q24" s="2">
        <f>+C24-15018.5</f>
        <v>37893.842299999997</v>
      </c>
    </row>
    <row r="25" spans="1:17" x14ac:dyDescent="0.2">
      <c r="A25" s="24" t="s">
        <v>40</v>
      </c>
      <c r="B25" s="27"/>
      <c r="C25" s="26">
        <v>52930.361299999997</v>
      </c>
      <c r="D25" s="26">
        <v>2.9999999999999997E-4</v>
      </c>
      <c r="E25">
        <f>+(C25-C$7)/C$8</f>
        <v>4877.8199903477198</v>
      </c>
      <c r="F25">
        <f>ROUND(2*E25,0)/2</f>
        <v>4878</v>
      </c>
      <c r="G25">
        <f>+C25-(C$7+F25*C$8)</f>
        <v>-5.4493800009367988E-2</v>
      </c>
      <c r="I25">
        <f>+G25</f>
        <v>-5.4493800009367988E-2</v>
      </c>
      <c r="O25">
        <f>+C$11+C$12*$F25</f>
        <v>-5.7789572281930893E-2</v>
      </c>
      <c r="Q25" s="2">
        <f>+C25-15018.5</f>
        <v>37911.861299999997</v>
      </c>
    </row>
    <row r="26" spans="1:17" x14ac:dyDescent="0.2">
      <c r="C26" s="8"/>
      <c r="D26" s="8"/>
      <c r="Q26" s="2"/>
    </row>
    <row r="27" spans="1:17" x14ac:dyDescent="0.2">
      <c r="C27" s="8"/>
      <c r="D27" s="8"/>
      <c r="Q27" s="2"/>
    </row>
    <row r="28" spans="1:17" x14ac:dyDescent="0.2">
      <c r="C28" s="8"/>
      <c r="D28" s="8"/>
      <c r="Q28" s="2"/>
    </row>
    <row r="29" spans="1:17" x14ac:dyDescent="0.2">
      <c r="C29" s="8"/>
      <c r="D29" s="8"/>
      <c r="Q29" s="2"/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38</v>
      </c>
    </row>
    <row r="2" spans="1:5" x14ac:dyDescent="0.2">
      <c r="A2" t="s">
        <v>25</v>
      </c>
      <c r="B2" t="s">
        <v>39</v>
      </c>
      <c r="C2" s="3"/>
      <c r="D2" s="3"/>
    </row>
    <row r="3" spans="1:5" ht="13.5" thickBot="1" x14ac:dyDescent="0.25"/>
    <row r="4" spans="1:5" ht="13.5" thickBot="1" x14ac:dyDescent="0.25">
      <c r="A4" s="5" t="s">
        <v>0</v>
      </c>
      <c r="C4" s="22">
        <v>51453.713000000003</v>
      </c>
      <c r="D4" s="23">
        <v>0.30272710000000003</v>
      </c>
    </row>
    <row r="6" spans="1:5" x14ac:dyDescent="0.2">
      <c r="A6" s="5" t="s">
        <v>1</v>
      </c>
    </row>
    <row r="7" spans="1:5" x14ac:dyDescent="0.2">
      <c r="A7" t="s">
        <v>2</v>
      </c>
      <c r="C7">
        <f>+C4</f>
        <v>51453.713000000003</v>
      </c>
    </row>
    <row r="8" spans="1:5" x14ac:dyDescent="0.2">
      <c r="A8" t="s">
        <v>3</v>
      </c>
      <c r="C8">
        <v>0.356657</v>
      </c>
    </row>
    <row r="9" spans="1:5" x14ac:dyDescent="0.2">
      <c r="A9" s="9" t="s">
        <v>32</v>
      </c>
      <c r="B9" s="10"/>
      <c r="C9" s="11">
        <v>8</v>
      </c>
      <c r="D9" s="10" t="s">
        <v>33</v>
      </c>
      <c r="E9" s="10"/>
    </row>
    <row r="10" spans="1: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5" x14ac:dyDescent="0.2">
      <c r="A11" s="10" t="s">
        <v>16</v>
      </c>
      <c r="B11" s="10"/>
      <c r="C11" s="10">
        <f>INTERCEPT(G21:G998,F21:F998)</f>
        <v>-1.062140668456335E-5</v>
      </c>
      <c r="D11" s="3"/>
      <c r="E11" s="10"/>
    </row>
    <row r="12" spans="1:5" x14ac:dyDescent="0.2">
      <c r="A12" s="10" t="s">
        <v>17</v>
      </c>
      <c r="B12" s="10"/>
      <c r="C12" s="10">
        <f>SLOPE(G21:G998,F21:F998)</f>
        <v>1.4413181233017481E-4</v>
      </c>
      <c r="D12" s="3"/>
      <c r="E12" s="10"/>
    </row>
    <row r="13" spans="1:5" x14ac:dyDescent="0.2">
      <c r="A13" s="10" t="s">
        <v>20</v>
      </c>
      <c r="B13" s="10"/>
      <c r="C13" s="3" t="s">
        <v>14</v>
      </c>
      <c r="D13" s="3"/>
      <c r="E13" s="10"/>
    </row>
    <row r="14" spans="1:5" x14ac:dyDescent="0.2">
      <c r="A14" s="10"/>
      <c r="B14" s="10"/>
      <c r="C14" s="10"/>
      <c r="D14" s="10"/>
      <c r="E14" s="10"/>
    </row>
    <row r="15" spans="1:5" x14ac:dyDescent="0.2">
      <c r="A15" s="12" t="s">
        <v>18</v>
      </c>
      <c r="B15" s="10"/>
      <c r="C15" s="13">
        <f>(C7+C11)+(C8+C12)*INT(MAX(F21:F3533))</f>
        <v>52930.156072818019</v>
      </c>
      <c r="D15" s="14" t="s">
        <v>34</v>
      </c>
      <c r="E15" s="15">
        <f ca="1">TODAY()+15018.5-B9/24</f>
        <v>60320.5</v>
      </c>
    </row>
    <row r="16" spans="1:5" x14ac:dyDescent="0.2">
      <c r="A16" s="16" t="s">
        <v>4</v>
      </c>
      <c r="B16" s="10"/>
      <c r="C16" s="17">
        <f>+C8+C12</f>
        <v>0.3568011318123302</v>
      </c>
      <c r="D16" s="14" t="s">
        <v>35</v>
      </c>
      <c r="E16" s="15">
        <f ca="1">ROUND(2*(E15-C15)/C16,0)/2+1</f>
        <v>20714</v>
      </c>
    </row>
    <row r="17" spans="1:17" ht="13.5" thickBot="1" x14ac:dyDescent="0.25">
      <c r="A17" s="14" t="s">
        <v>31</v>
      </c>
      <c r="B17" s="10"/>
      <c r="C17" s="10">
        <f>COUNT(C21:C2191)</f>
        <v>5</v>
      </c>
      <c r="D17" s="14" t="s">
        <v>36</v>
      </c>
      <c r="E17" s="18">
        <f ca="1">+C15+C16*E16-15018.5-C9/24</f>
        <v>45302.101383845293</v>
      </c>
    </row>
    <row r="18" spans="1:17" ht="14.25" thickTop="1" thickBot="1" x14ac:dyDescent="0.25">
      <c r="A18" s="16" t="s">
        <v>5</v>
      </c>
      <c r="B18" s="10"/>
      <c r="C18" s="19">
        <f>+C15</f>
        <v>52930.156072818019</v>
      </c>
      <c r="D18" s="20">
        <f>+C16</f>
        <v>0.3568011318123302</v>
      </c>
      <c r="E18" s="21" t="s">
        <v>37</v>
      </c>
    </row>
    <row r="19" spans="1:17" ht="13.5" thickTop="1" x14ac:dyDescent="0.2">
      <c r="F19">
        <v>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8">
        <f>+C4</f>
        <v>51453.713000000003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 s="28">
        <f>G21</f>
        <v>0</v>
      </c>
      <c r="O21">
        <f>+C$11+C$12*$F21</f>
        <v>-1.062140668456335E-5</v>
      </c>
      <c r="Q21" s="2">
        <f>+C21-15018.5</f>
        <v>36435.213000000003</v>
      </c>
    </row>
    <row r="22" spans="1:17" x14ac:dyDescent="0.2">
      <c r="A22" s="24" t="s">
        <v>40</v>
      </c>
      <c r="B22" s="25"/>
      <c r="C22" s="26">
        <v>52907.3462</v>
      </c>
      <c r="D22" s="26">
        <v>6.9999999999999999E-4</v>
      </c>
      <c r="E22">
        <f>+(C22-C$7)/C$8</f>
        <v>4075.7175661770175</v>
      </c>
      <c r="F22">
        <f>ROUND(2*E22,0)/2-F$19*C$8</f>
        <v>4074.0733719999998</v>
      </c>
      <c r="G22">
        <f>+C22-(C$7+F22*C$8)</f>
        <v>0.58641336259461241</v>
      </c>
      <c r="I22">
        <f>+G22</f>
        <v>0.58641336259461241</v>
      </c>
      <c r="O22">
        <f>+C$11+C$12*$F22</f>
        <v>0.58719295726578191</v>
      </c>
      <c r="Q22" s="2">
        <f>+C22-15018.5</f>
        <v>37888.8462</v>
      </c>
    </row>
    <row r="23" spans="1:17" x14ac:dyDescent="0.2">
      <c r="A23" s="24" t="s">
        <v>40</v>
      </c>
      <c r="B23" s="25"/>
      <c r="C23" s="26">
        <v>52908.417399999998</v>
      </c>
      <c r="D23" s="26">
        <v>1.1999999999999999E-3</v>
      </c>
      <c r="E23">
        <f>+(C23-C$7)/C$8</f>
        <v>4078.7210120647992</v>
      </c>
      <c r="F23">
        <f>ROUND(2*E23,0)/2-F$19*C$8</f>
        <v>4077.0733719999998</v>
      </c>
      <c r="G23">
        <f>+C23-(C$7+F23*C$8)</f>
        <v>0.58764236258866731</v>
      </c>
      <c r="I23">
        <f>+G23</f>
        <v>0.58764236258866731</v>
      </c>
      <c r="O23">
        <f>+C$11+C$12*$F23</f>
        <v>0.58762535270277239</v>
      </c>
      <c r="Q23" s="2">
        <f>+C23-15018.5</f>
        <v>37889.917399999998</v>
      </c>
    </row>
    <row r="24" spans="1:17" x14ac:dyDescent="0.2">
      <c r="A24" s="24" t="s">
        <v>40</v>
      </c>
      <c r="B24" s="27"/>
      <c r="C24" s="26">
        <v>52912.342299999997</v>
      </c>
      <c r="D24" s="26">
        <v>6.9999999999999999E-4</v>
      </c>
      <c r="E24">
        <f>+(C24-C$7)/C$8</f>
        <v>4089.7257028461331</v>
      </c>
      <c r="F24">
        <f>ROUND(2*E24,0)/2-F$19*C$8</f>
        <v>4088.0733719999998</v>
      </c>
      <c r="G24">
        <f>+C24-(C$7+F24*C$8)</f>
        <v>0.58931536258751294</v>
      </c>
      <c r="I24">
        <f>+G24</f>
        <v>0.58931536258751294</v>
      </c>
      <c r="O24">
        <f>+C$11+C$12*$F24</f>
        <v>0.58921080263840442</v>
      </c>
      <c r="Q24" s="2">
        <f>+C24-15018.5</f>
        <v>37893.842299999997</v>
      </c>
    </row>
    <row r="25" spans="1:17" x14ac:dyDescent="0.2">
      <c r="A25" s="24" t="s">
        <v>40</v>
      </c>
      <c r="B25" s="27"/>
      <c r="C25" s="26">
        <v>52930.361299999997</v>
      </c>
      <c r="D25" s="26">
        <v>2.9999999999999997E-4</v>
      </c>
      <c r="E25">
        <f>+(C25-C$7)/C$8</f>
        <v>4140.2476328797511</v>
      </c>
      <c r="F25">
        <f>ROUND(2*E25,0)/2-F$19*C$8</f>
        <v>4138.5733719999998</v>
      </c>
      <c r="G25">
        <f>+C25-(C$7+F25*C$8)</f>
        <v>0.59713686259055976</v>
      </c>
      <c r="I25">
        <f>+G25</f>
        <v>0.59713686259055976</v>
      </c>
      <c r="O25">
        <f>+C$11+C$12*$F25</f>
        <v>0.59648945916107809</v>
      </c>
      <c r="Q25" s="2">
        <f>+C25-15018.5</f>
        <v>37911.861299999997</v>
      </c>
    </row>
    <row r="26" spans="1:17" x14ac:dyDescent="0.2">
      <c r="C26" s="8"/>
      <c r="D26" s="8"/>
      <c r="Q26" s="2"/>
    </row>
    <row r="27" spans="1:17" x14ac:dyDescent="0.2">
      <c r="C27" s="8"/>
      <c r="D27" s="8"/>
      <c r="Q27" s="2"/>
    </row>
    <row r="28" spans="1:17" x14ac:dyDescent="0.2">
      <c r="C28" s="8"/>
      <c r="D28" s="8"/>
      <c r="Q28" s="2"/>
    </row>
    <row r="29" spans="1:17" x14ac:dyDescent="0.2">
      <c r="C29" s="8"/>
      <c r="D29" s="8"/>
      <c r="Q29" s="2"/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2024-01-11T06:21:18Z</dcterms:modified>
</cp:coreProperties>
</file>