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5119426-14D3-4B57-9597-3E6B661DF34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F16" i="1"/>
  <c r="Q23" i="1"/>
  <c r="Q22" i="1"/>
  <c r="C21" i="1"/>
  <c r="E21" i="1"/>
  <c r="F21" i="1"/>
  <c r="A21" i="1"/>
  <c r="C7" i="1"/>
  <c r="E23" i="1"/>
  <c r="F23" i="1"/>
  <c r="C8" i="1"/>
  <c r="C17" i="1"/>
  <c r="Q21" i="1"/>
  <c r="E22" i="1"/>
  <c r="F22" i="1"/>
  <c r="G21" i="1"/>
  <c r="H21" i="1"/>
  <c r="G23" i="1"/>
  <c r="J23" i="1"/>
  <c r="G22" i="1"/>
  <c r="I22" i="1"/>
  <c r="C11" i="1"/>
  <c r="C12" i="1"/>
  <c r="C16" i="1" l="1"/>
  <c r="D18" i="1" s="1"/>
  <c r="O22" i="1"/>
  <c r="O23" i="1"/>
  <c r="O21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<sst xmlns="http://schemas.openxmlformats.org/spreadsheetml/2006/main" count="55" uniqueCount="49">
  <si>
    <t>JAVSO..44…69</t>
  </si>
  <si>
    <t>Add cycle</t>
  </si>
  <si>
    <t>Old Cycle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</si>
  <si>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</si>
  <si>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</si>
  <si>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</si>
  <si>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</si>
  <si>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</si>
  <si>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</si>
  <si>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</si>
  <si>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</si>
  <si>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</si>
  <si>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</si>
  <si>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</si>
  <si>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</si>
  <si>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</si>
  <si>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</si>
  <si>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</si>
  <si>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</si>
  <si>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</si>
  <si>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</si>
  <si>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</si>
  <si>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</si>
  <si>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</si>
  <si>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</si>
  <si>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</si>
  <si>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</si>
  <si>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</si>
  <si>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</si>
  <si>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</si>
  <si>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</si>
  <si>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</si>
  <si>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</si>
  <si>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</si>
  <si>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</si>
  <si>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</si>
  <si>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</si>
  <si>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</si>
  <si>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G5785-1113_Aqr.xls</t>
  </si>
  <si>
    <t>EB</t>
  </si>
  <si>
    <t>IBVS 5495 Eph.</t>
  </si>
  <si>
    <t>IBVS 5495</t>
  </si>
  <si>
    <t>Aqr</t>
  </si>
  <si>
    <t>OS Aqr / GSC 5785 1113 / NSV 13694</t>
  </si>
  <si>
    <t>OEJV 0155</t>
  </si>
  <si>
    <t>I</t>
  </si>
  <si>
    <t>0,0100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</si>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</sst>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OS Aqr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5961</c:v>
                </c:pt>
                <c:pt idx="2">
                  <c:v>8371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CC-44F4-BFDC-5400F94488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5961</c:v>
                </c:pt>
                <c:pt idx="2">
                  <c:v>8371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-4.8139999926206656E-3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CC-44F4-BFDC-5400F94488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5961</c:v>
                </c:pt>
                <c:pt idx="2">
                  <c:v>8371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-9.7539999987930059E-3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CC-44F4-BFDC-5400F94488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5961</c:v>
                </c:pt>
                <c:pt idx="2">
                  <c:v>8371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CC-44F4-BFDC-5400F94488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5961</c:v>
                </c:pt>
                <c:pt idx="2">
                  <c:v>8371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CC-44F4-BFDC-5400F94488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5961</c:v>
                </c:pt>
                <c:pt idx="2">
                  <c:v>8371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CC-44F4-BFDC-5400F94488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5961</c:v>
                </c:pt>
                <c:pt idx="2">
                  <c:v>8371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CC-44F4-BFDC-5400F94488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5961</c:v>
                </c:pt>
                <c:pt idx="2">
                  <c:v>8371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7.4048133006545721E-3</c:v>
                </c:pt>
                <c:pt idx="1">
                  <c:v>-4.8139999926206656E-3</c:v>
                </c:pt>
                <c:pt idx="2">
                  <c:v>-9.7539999987930042E-3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CC-44F4-BFDC-5400F944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499984"/>
        <c:axId val="1"/>
      </c:scatterChart>
      <c:valAx>
        <c:axId val="52149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499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97937099967764"/>
          <c:w val="0.6556390977443609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18</xdr:col>
      <xdr:colOff>333375</xdr:colOff>
      <xdr:row>18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8F94042-A932-1465-B72F-F31E2B409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E1" s="30"/>
      <c r="F1" s="30" t="s">
        <v>38</v>
      </c>
      <c r="G1" s="31" t="s">
        <v>39</v>
      </c>
      <c r="H1" s="10" t="s">
        <v>40</v>
      </c>
      <c r="I1" s="32">
        <v>52032.832999999999</v>
      </c>
      <c r="J1" s="32">
        <v>0.58677400000000002</v>
      </c>
      <c r="K1" s="33" t="s">
        <v>41</v>
      </c>
      <c r="L1" s="29" t="s">
        <v>42</v>
      </c>
    </row>
    <row r="2" spans="1:12" x14ac:dyDescent="0.2">
      <c r="A2" t="s">
        <v>25</v>
      </c>
      <c r="B2" t="s">
        <v>39</v>
      </c>
      <c r="C2" s="9" t="s">
        <v>42</v>
      </c>
      <c r="D2" t="s">
        <v>38</v>
      </c>
    </row>
    <row r="3" spans="1:12" ht="13.5" thickBot="1" x14ac:dyDescent="0.25"/>
    <row r="4" spans="1:12" ht="14.25" thickTop="1" thickBot="1" x14ac:dyDescent="0.25">
      <c r="A4" s="28" t="s">
        <v>40</v>
      </c>
      <c r="C4" s="7">
        <v>52032.832999999999</v>
      </c>
      <c r="D4" s="8">
        <v>0.58677400000000002</v>
      </c>
    </row>
    <row r="5" spans="1:12" ht="13.5" thickTop="1" x14ac:dyDescent="0.2">
      <c r="A5" s="10" t="s">
        <v>32</v>
      </c>
      <c r="B5" s="11"/>
      <c r="C5" s="12">
        <v>-9.5</v>
      </c>
      <c r="D5" s="11" t="s">
        <v>33</v>
      </c>
      <c r="E5" s="11"/>
    </row>
    <row r="6" spans="1:12" x14ac:dyDescent="0.2">
      <c r="A6" s="4" t="s">
        <v>3</v>
      </c>
    </row>
    <row r="7" spans="1:12" x14ac:dyDescent="0.2">
      <c r="A7" t="s">
        <v>4</v>
      </c>
      <c r="C7">
        <f>+C4</f>
        <v>52032.832999999999</v>
      </c>
    </row>
    <row r="8" spans="1:12" x14ac:dyDescent="0.2">
      <c r="A8" t="s">
        <v>5</v>
      </c>
      <c r="C8">
        <f>+D4</f>
        <v>0.58677400000000002</v>
      </c>
    </row>
    <row r="9" spans="1:12" x14ac:dyDescent="0.2">
      <c r="A9" s="26" t="s">
        <v>37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12" ht="13.5" thickBot="1" x14ac:dyDescent="0.25">
      <c r="A10" s="11"/>
      <c r="B10" s="11"/>
      <c r="C10" s="3" t="s">
        <v>21</v>
      </c>
      <c r="D10" s="3" t="s">
        <v>22</v>
      </c>
      <c r="E10" s="11"/>
    </row>
    <row r="11" spans="1:12" x14ac:dyDescent="0.2">
      <c r="A11" s="11" t="s">
        <v>17</v>
      </c>
      <c r="B11" s="11"/>
      <c r="C11" s="23">
        <f ca="1">INTERCEPT(INDIRECT($D$9):G992,INDIRECT($C$9):F992)</f>
        <v>7.4048133006545721E-3</v>
      </c>
      <c r="D11" s="13"/>
      <c r="E11" s="11"/>
    </row>
    <row r="12" spans="1:12" x14ac:dyDescent="0.2">
      <c r="A12" s="11" t="s">
        <v>18</v>
      </c>
      <c r="B12" s="11"/>
      <c r="C12" s="23">
        <f ca="1">SLOPE(INDIRECT($D$9):G992,INDIRECT($C$9):F992)</f>
        <v>-2.0497925336814691E-6</v>
      </c>
      <c r="D12" s="13"/>
      <c r="E12" s="11"/>
    </row>
    <row r="13" spans="1:12" x14ac:dyDescent="0.2">
      <c r="A13" s="11" t="s">
        <v>20</v>
      </c>
      <c r="B13" s="11"/>
      <c r="C13" s="13" t="s">
        <v>15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19</v>
      </c>
      <c r="B15" s="11"/>
      <c r="C15" s="15">
        <f ca="1">(C7+C11)+(C8+C12)*INT(MAX(F21:F3533))</f>
        <v>56944.708400000003</v>
      </c>
      <c r="E15" s="16" t="s">
        <v>1</v>
      </c>
      <c r="F15" s="12">
        <v>1</v>
      </c>
    </row>
    <row r="16" spans="1:12" x14ac:dyDescent="0.2">
      <c r="A16" s="18" t="s">
        <v>6</v>
      </c>
      <c r="B16" s="11"/>
      <c r="C16" s="19">
        <f ca="1">+C8+C12</f>
        <v>0.58677195020746631</v>
      </c>
      <c r="E16" s="16" t="s">
        <v>34</v>
      </c>
      <c r="F16" s="17">
        <f ca="1">NOW()+15018.5+$C$5/24</f>
        <v>60320.814852777774</v>
      </c>
    </row>
    <row r="17" spans="1:17" ht="13.5" thickBot="1" x14ac:dyDescent="0.25">
      <c r="A17" s="16" t="s">
        <v>31</v>
      </c>
      <c r="B17" s="11"/>
      <c r="C17" s="11">
        <f>COUNT(C21:C2191)</f>
        <v>3</v>
      </c>
      <c r="E17" s="16" t="s">
        <v>2</v>
      </c>
      <c r="F17" s="17">
        <f ca="1">ROUND(2*(F16-$C$7)/$C$8,0)/2+F15</f>
        <v>14125.5</v>
      </c>
    </row>
    <row r="18" spans="1:17" ht="14.25" thickTop="1" thickBot="1" x14ac:dyDescent="0.25">
      <c r="A18" s="18" t="s">
        <v>7</v>
      </c>
      <c r="B18" s="11"/>
      <c r="C18" s="21">
        <f ca="1">+C15</f>
        <v>56944.708400000003</v>
      </c>
      <c r="D18" s="22">
        <f ca="1">+C16</f>
        <v>0.58677195020746631</v>
      </c>
      <c r="E18" s="16" t="s">
        <v>35</v>
      </c>
      <c r="F18" s="25">
        <f ca="1">ROUND(2*(F16-$C$15)/$C$16,0)/2+F15</f>
        <v>5754.5</v>
      </c>
    </row>
    <row r="19" spans="1:17" ht="13.5" thickTop="1" x14ac:dyDescent="0.2">
      <c r="E19" s="16" t="s">
        <v>36</v>
      </c>
      <c r="F19" s="20">
        <f ca="1">+$C$15+$C$16*F18-15018.5-$C$5/24</f>
        <v>45303.183420802205</v>
      </c>
    </row>
    <row r="20" spans="1:17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30</v>
      </c>
      <c r="I20" s="6" t="s">
        <v>47</v>
      </c>
      <c r="J20" s="6" t="s">
        <v>48</v>
      </c>
      <c r="K20" s="6" t="s">
        <v>26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16</v>
      </c>
    </row>
    <row r="21" spans="1:17" x14ac:dyDescent="0.2">
      <c r="A21" t="str">
        <f>$K$1</f>
        <v>IBVS 5495</v>
      </c>
      <c r="C21" s="9">
        <f>+$C$4</f>
        <v>52032.832999999999</v>
      </c>
      <c r="D21" s="9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7.4048133006545721E-3</v>
      </c>
      <c r="Q21" s="2">
        <f>+C21-15018.5</f>
        <v>37014.332999999999</v>
      </c>
    </row>
    <row r="22" spans="1:17" x14ac:dyDescent="0.2">
      <c r="A22" s="34" t="s">
        <v>44</v>
      </c>
      <c r="B22" s="35" t="s">
        <v>45</v>
      </c>
      <c r="C22" s="36">
        <v>55530.588000000003</v>
      </c>
      <c r="D22" s="34" t="s">
        <v>46</v>
      </c>
      <c r="E22">
        <f>+(C22-C$7)/C$8</f>
        <v>5960.9917958191818</v>
      </c>
      <c r="F22">
        <f>ROUND(2*E22,0)/2</f>
        <v>5961</v>
      </c>
      <c r="G22">
        <f>+C22-(C$7+F22*C$8)</f>
        <v>-4.8139999926206656E-3</v>
      </c>
      <c r="I22">
        <f>+G22</f>
        <v>-4.8139999926206656E-3</v>
      </c>
      <c r="O22">
        <f ca="1">+C$11+C$12*$F22</f>
        <v>-4.8139999926206656E-3</v>
      </c>
      <c r="Q22" s="2">
        <f>+C22-15018.5</f>
        <v>40512.088000000003</v>
      </c>
    </row>
    <row r="23" spans="1:17" x14ac:dyDescent="0.2">
      <c r="A23" s="37" t="s">
        <v>0</v>
      </c>
      <c r="B23" s="38" t="s">
        <v>45</v>
      </c>
      <c r="C23" s="39">
        <v>56944.708400000003</v>
      </c>
      <c r="D23" s="39">
        <v>1E-4</v>
      </c>
      <c r="E23">
        <f>+(C23-C$7)/C$8</f>
        <v>8370.9833769049146</v>
      </c>
      <c r="F23">
        <f>ROUND(2*E23,0)/2</f>
        <v>8371</v>
      </c>
      <c r="G23">
        <f>+C23-(C$7+F23*C$8)</f>
        <v>-9.7539999987930059E-3</v>
      </c>
      <c r="J23">
        <f>+G23</f>
        <v>-9.7539999987930059E-3</v>
      </c>
      <c r="O23">
        <f ca="1">+C$11+C$12*$F23</f>
        <v>-9.7539999987930042E-3</v>
      </c>
      <c r="Q23" s="2">
        <f>+C23-15018.5</f>
        <v>41926.208400000003</v>
      </c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H64748" r:id="rId1" display="http://vsolj.cetus-net.org/bulletin.html"/>
    <hyperlink ref="H64741" r:id="rId2" display="http://vsolj.cetus-net.org/bulletin.html"/>
    <hyperlink ref="AP2238" r:id="rId3" display="http://cdsbib.u-strasbg.fr/cgi-bin/cdsbib?1990RMxAA..21..381G"/>
    <hyperlink ref="AP2241" r:id="rId4" display="http://cdsbib.u-strasbg.fr/cgi-bin/cdsbib?1990RMxAA..21..381G"/>
    <hyperlink ref="AP2239" r:id="rId5" display="http://cdsbib.u-strasbg.fr/cgi-bin/cdsbib?1990RMxAA..21..381G"/>
    <hyperlink ref="AP2217" r:id="rId6" display="http://cdsbib.u-strasbg.fr/cgi-bin/cdsbib?1990RMxAA..21..381G"/>
    <hyperlink ref="I64748" r:id="rId7" display="http://vsolj.cetus-net.org/bulletin.html"/>
    <hyperlink ref="AQ2351" r:id="rId8" display="http://cdsbib.u-strasbg.fr/cgi-bin/cdsbib?1990RMxAA..21..381G"/>
    <hyperlink ref="AQ620" r:id="rId9" display="http://cdsbib.u-strasbg.fr/cgi-bin/cdsbib?1990RMxAA..21..381G"/>
    <hyperlink ref="AQ2352" r:id="rId10" display="http://cdsbib.u-strasbg.fr/cgi-bin/cdsbib?1990RMxAA..21..381G"/>
    <hyperlink ref="H64745" r:id="rId11" display="https://www.aavso.org/ejaavso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2024-01-11T06:33:23Z</dcterms:modified>
</cp:coreProperties>
</file>