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916F99C-A2A1-4C26-9079-B7D5E375A3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1" i="1"/>
  <c r="F21" i="1" s="1"/>
  <c r="G21" i="1" s="1"/>
  <c r="I21" i="1" s="1"/>
  <c r="E23" i="1"/>
  <c r="F23" i="1" s="1"/>
  <c r="G23" i="1" s="1"/>
  <c r="K23" i="1" s="1"/>
  <c r="E22" i="1"/>
  <c r="F22" i="1" s="1"/>
  <c r="G22" i="1" s="1"/>
  <c r="K22" i="1" s="1"/>
  <c r="Q21" i="1"/>
  <c r="Q23" i="1"/>
  <c r="D9" i="1"/>
  <c r="E9" i="1"/>
  <c r="C17" i="1"/>
  <c r="Q22" i="1"/>
  <c r="C12" i="1"/>
  <c r="C11" i="1"/>
  <c r="F15" i="1" l="1"/>
  <c r="O23" i="1"/>
  <c r="O21" i="1"/>
  <c r="C15" i="1"/>
  <c r="O22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<sst xmlns="http://schemas.openxmlformats.org/spreadsheetml/2006/main" count="59" uniqueCount="55">
  <si>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</si>
  <si>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</si>
  <si>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</si>
  <si>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</si>
  <si>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</si>
  <si>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</si>
  <si>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</si>
  <si>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</si>
  <si>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</si>
  <si>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</si>
  <si>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</si>
  <si>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</si>
  <si>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</si>
  <si>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</si>
  <si>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</si>
  <si>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</si>
  <si>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</si>
  <si>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</si>
  <si>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</si>
  <si>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</si>
  <si>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</si>
  <si>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</si>
  <si>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</si>
  <si>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</si>
  <si>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</si>
  <si>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</si>
  <si>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</si>
  <si>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</si>
  <si>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</si>
  <si>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</si>
  <si>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</si>
  <si>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</si>
  <si>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</si>
  <si>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</si>
  <si>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</si>
  <si>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</si>
  <si>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</si>
  <si>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</si>
  <si>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</si>
  <si>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</si>
  <si>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</si>
  <si>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</si>
  <si>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R Ara</t>
  </si>
  <si>
    <t>G8720-2094</t>
  </si>
  <si>
    <t>EA</t>
  </si>
  <si>
    <t>pr_0</t>
  </si>
  <si>
    <t>B9IV/V</t>
  </si>
  <si>
    <t>R</t>
  </si>
  <si>
    <t>R Ara / GSC 8720-2094</t>
  </si>
  <si>
    <t>GCVS</t>
  </si>
  <si>
    <t>Kreiner</t>
  </si>
  <si>
    <t xml:space="preserve">Mag 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</si>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</sst>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/>
    </xf>
    <xf numFmtId="0" fontId="0" fillId="0" borderId="0" xfId="0" applyAlignment="1">
      <alignment horizontal="right"/>
    </xf>
    <xf numFmtId="0" fontId="6" fillId="26" borderId="11" xfId="0" applyFont="1" applyFill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 Ara - O-C Diagr.</a:t>
            </a:r>
          </a:p>
        </c:rich>
      </c:tx>
      <c:layout>
        <c:manualLayout>
          <c:xMode val="edge"/>
          <c:yMode val="edge"/>
          <c:x val="0.396992481203007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  <c:pt idx="2">
                  <c:v>2469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71-4DB3-93A4-4889541143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  <c:pt idx="2">
                  <c:v>2469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71-4DB3-93A4-4889541143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  <c:pt idx="2">
                  <c:v>2469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71-4DB3-93A4-4889541143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  <c:pt idx="2">
                  <c:v>2469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-0.13784000000305241</c:v>
                </c:pt>
                <c:pt idx="2">
                  <c:v>3.8279999993392266E-2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71-4DB3-93A4-4889541143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  <c:pt idx="2">
                  <c:v>2469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71-4DB3-93A4-4889541143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  <c:pt idx="2">
                  <c:v>2469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71-4DB3-93A4-4889541143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  <c:pt idx="2">
                  <c:v>2469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71-4DB3-93A4-4889541143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  <c:pt idx="2">
                  <c:v>2469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-5.5148218096750995E-2</c:v>
                </c:pt>
                <c:pt idx="1">
                  <c:v>-3.4137829035132974E-2</c:v>
                </c:pt>
                <c:pt idx="2">
                  <c:v>-1.0273952877776174E-2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71-4DB3-93A4-4889541143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  <c:pt idx="2">
                  <c:v>2469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71-4DB3-93A4-488954114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274840"/>
        <c:axId val="1"/>
      </c:scatterChart>
      <c:valAx>
        <c:axId val="676274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274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F6926EB-897E-969B-52DB-31221F404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48</v>
      </c>
      <c r="F1" s="34" t="s">
        <v>42</v>
      </c>
      <c r="G1" s="29">
        <v>0</v>
      </c>
      <c r="H1" s="30"/>
      <c r="I1" s="35" t="s">
        <v>43</v>
      </c>
      <c r="J1" s="34" t="s">
        <v>42</v>
      </c>
      <c r="K1" s="36">
        <v>16.394470000000002</v>
      </c>
      <c r="L1" s="32">
        <v>-56.594000000000001</v>
      </c>
      <c r="M1" s="33">
        <v>52501.559600000001</v>
      </c>
      <c r="N1" s="33">
        <v>4.4251132999999996</v>
      </c>
      <c r="O1" s="31" t="s">
        <v>44</v>
      </c>
      <c r="P1" s="32">
        <v>6.17</v>
      </c>
      <c r="Q1" s="32">
        <v>7.32</v>
      </c>
      <c r="R1" s="37" t="s">
        <v>45</v>
      </c>
      <c r="S1" s="38" t="s">
        <v>46</v>
      </c>
      <c r="T1" s="32" t="s">
        <v>47</v>
      </c>
    </row>
    <row r="2" spans="1:20" x14ac:dyDescent="0.2">
      <c r="A2" t="s">
        <v>25</v>
      </c>
      <c r="B2" t="s">
        <v>44</v>
      </c>
      <c r="C2" s="28"/>
      <c r="D2" s="3"/>
    </row>
    <row r="3" spans="1:20" ht="13.5" thickBot="1" x14ac:dyDescent="0.25"/>
    <row r="4" spans="1:20" ht="14.25" thickTop="1" thickBot="1" x14ac:dyDescent="0.25">
      <c r="A4" s="5" t="s">
        <v>2</v>
      </c>
      <c r="C4" s="26">
        <v>47386.12</v>
      </c>
      <c r="D4" s="27">
        <v>4.4252200000000004</v>
      </c>
    </row>
    <row r="5" spans="1:20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0" x14ac:dyDescent="0.2">
      <c r="A6" s="5" t="s">
        <v>3</v>
      </c>
    </row>
    <row r="7" spans="1:20" x14ac:dyDescent="0.2">
      <c r="A7" t="s">
        <v>4</v>
      </c>
      <c r="C7" s="41">
        <v>47386.12</v>
      </c>
      <c r="D7" s="50" t="s">
        <v>54</v>
      </c>
    </row>
    <row r="8" spans="1:20" x14ac:dyDescent="0.2">
      <c r="A8" t="s">
        <v>5</v>
      </c>
      <c r="C8" s="41">
        <v>4.4252399999999996</v>
      </c>
      <c r="D8" s="50" t="s">
        <v>54</v>
      </c>
    </row>
    <row r="9" spans="1:20" x14ac:dyDescent="0.2">
      <c r="A9" s="23" t="s">
        <v>33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20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0" x14ac:dyDescent="0.2">
      <c r="A11" s="10" t="s">
        <v>17</v>
      </c>
      <c r="B11" s="10"/>
      <c r="C11" s="20">
        <f ca="1">INTERCEPT(INDIRECT($E$9):G992,INDIRECT($D$9):F992)</f>
        <v>-5.5148218096750995E-2</v>
      </c>
      <c r="D11" s="3"/>
      <c r="E11" s="10"/>
    </row>
    <row r="12" spans="1:20" x14ac:dyDescent="0.2">
      <c r="A12" s="10" t="s">
        <v>18</v>
      </c>
      <c r="B12" s="10"/>
      <c r="C12" s="20">
        <f ca="1">SLOPE(INDIRECT($E$9):G992,INDIRECT($D$9):F992)</f>
        <v>1.8175077042922163E-5</v>
      </c>
      <c r="D12" s="3"/>
      <c r="E12" s="42" t="s">
        <v>51</v>
      </c>
      <c r="F12" s="43"/>
    </row>
    <row r="13" spans="1:20" x14ac:dyDescent="0.2">
      <c r="A13" s="10" t="s">
        <v>20</v>
      </c>
      <c r="B13" s="10"/>
      <c r="C13" s="3" t="s">
        <v>15</v>
      </c>
      <c r="E13" s="44" t="s">
        <v>35</v>
      </c>
      <c r="F13" s="45">
        <v>1</v>
      </c>
    </row>
    <row r="14" spans="1:20" x14ac:dyDescent="0.2">
      <c r="A14" s="10"/>
      <c r="B14" s="10"/>
      <c r="C14" s="10"/>
      <c r="E14" s="44" t="s">
        <v>32</v>
      </c>
      <c r="F14" s="46">
        <f ca="1">NOW()+15018.5+$C$5/24</f>
        <v>60514.767716087961</v>
      </c>
    </row>
    <row r="15" spans="1:20" x14ac:dyDescent="0.2">
      <c r="A15" s="12" t="s">
        <v>19</v>
      </c>
      <c r="B15" s="10"/>
      <c r="C15" s="13">
        <f ca="1">(C7+C11)+(C8+C12)*INT(MAX(F21:F3533))</f>
        <v>58312.027286047123</v>
      </c>
      <c r="E15" s="44" t="s">
        <v>36</v>
      </c>
      <c r="F15" s="46">
        <f ca="1">ROUND(2*($F$14-$C$7)/$C$8,0)/2+$F$13</f>
        <v>2968</v>
      </c>
    </row>
    <row r="16" spans="1:20" x14ac:dyDescent="0.2">
      <c r="A16" s="15" t="s">
        <v>6</v>
      </c>
      <c r="B16" s="10"/>
      <c r="C16" s="16">
        <f ca="1">+C8+C12</f>
        <v>4.4252581750770421</v>
      </c>
      <c r="E16" s="44" t="s">
        <v>37</v>
      </c>
      <c r="F16" s="46">
        <f ca="1">ROUND(2*($F$14-$C$15)/$C$16,0)/2+$F$13</f>
        <v>499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44" t="s">
        <v>52</v>
      </c>
      <c r="F17" s="47">
        <f ca="1">+$C$15+$C$16*$F$16-15018.5-$C$5/24</f>
        <v>45502.126948743906</v>
      </c>
    </row>
    <row r="18" spans="1:21" ht="14.25" thickTop="1" thickBot="1" x14ac:dyDescent="0.25">
      <c r="A18" s="15" t="s">
        <v>7</v>
      </c>
      <c r="B18" s="10"/>
      <c r="C18" s="18">
        <f ca="1">+C15</f>
        <v>58312.027286047123</v>
      </c>
      <c r="D18" s="19">
        <f ca="1">+C16</f>
        <v>4.4252581750770421</v>
      </c>
      <c r="E18" s="49" t="s">
        <v>53</v>
      </c>
      <c r="F18" s="48">
        <f ca="1">+($C$15+$C$16*$F$16)-($C$16/2)-15018.5-$C$5/24</f>
        <v>45499.914319656367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34</v>
      </c>
    </row>
    <row r="21" spans="1:21" x14ac:dyDescent="0.2">
      <c r="A21" t="s">
        <v>49</v>
      </c>
      <c r="C21" s="8">
        <v>47386.12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-5.5148218096750995E-2</v>
      </c>
      <c r="Q21" s="2">
        <f>+C21-15018.5</f>
        <v>32367.620000000003</v>
      </c>
    </row>
    <row r="22" spans="1:21" x14ac:dyDescent="0.2">
      <c r="A22" t="s">
        <v>50</v>
      </c>
      <c r="C22" s="8">
        <v>52501.559600000001</v>
      </c>
      <c r="D22" s="8" t="s">
        <v>15</v>
      </c>
      <c r="E22">
        <f>+(C22-C$7)/C$8</f>
        <v>1155.9688514069289</v>
      </c>
      <c r="F22">
        <f>ROUND(2*E22,0)/2</f>
        <v>1156</v>
      </c>
      <c r="G22">
        <f>+C22-(C$7+F22*C$8)</f>
        <v>-0.13784000000305241</v>
      </c>
      <c r="K22">
        <f>+G22</f>
        <v>-0.13784000000305241</v>
      </c>
      <c r="O22">
        <f ca="1">+C$11+C$12*$F22</f>
        <v>-3.4137829035132974E-2</v>
      </c>
      <c r="Q22" s="2">
        <f>+C22-15018.5</f>
        <v>37483.059600000001</v>
      </c>
    </row>
    <row r="23" spans="1:21" x14ac:dyDescent="0.2">
      <c r="A23" s="39" t="s">
        <v>0</v>
      </c>
      <c r="B23" s="40" t="s">
        <v>1</v>
      </c>
      <c r="C23" s="39">
        <v>58312.075839999998</v>
      </c>
      <c r="D23" s="39">
        <v>4.0000000000000002E-4</v>
      </c>
      <c r="E23">
        <f>+(C23-C$7)/C$8</f>
        <v>2469.0086503782836</v>
      </c>
      <c r="F23">
        <f>ROUND(2*E23,0)/2</f>
        <v>2469</v>
      </c>
      <c r="G23">
        <f>+C23-(C$7+F23*C$8)</f>
        <v>3.8279999993392266E-2</v>
      </c>
      <c r="K23">
        <f>+G23</f>
        <v>3.8279999993392266E-2</v>
      </c>
      <c r="O23">
        <f ca="1">+C$11+C$12*$F23</f>
        <v>-1.0273952877776174E-2</v>
      </c>
      <c r="Q23" s="2">
        <f>+C23-15018.5</f>
        <v>43293.575839999998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928" r:id="rId1" display="http://vsolj.cetus-net.org/bulletin.html" xr:uid="{00000000-0004-0000-0000-000000000000}"/>
    <hyperlink ref="H64921" r:id="rId2" display="https://www.aavso.org/ejaavso" xr:uid="{00000000-0004-0000-0000-000001000000}"/>
    <hyperlink ref="I64928" r:id="rId3" display="http://vsolj.cetus-net.org/bulletin.html" xr:uid="{00000000-0004-0000-0000-000002000000}"/>
    <hyperlink ref="AQ58579" r:id="rId4" display="http://cdsbib.u-strasbg.fr/cgi-bin/cdsbib?1990RMxAA..21..381G" xr:uid="{00000000-0004-0000-0000-000003000000}"/>
    <hyperlink ref="H64925" r:id="rId5" display="https://www.aavso.org/ejaavso" xr:uid="{00000000-0004-0000-0000-000004000000}"/>
    <hyperlink ref="AP5943" r:id="rId6" display="http://cdsbib.u-strasbg.fr/cgi-bin/cdsbib?1990RMxAA..21..381G" xr:uid="{00000000-0004-0000-0000-000005000000}"/>
    <hyperlink ref="AP5946" r:id="rId7" display="http://cdsbib.u-strasbg.fr/cgi-bin/cdsbib?1990RMxAA..21..381G" xr:uid="{00000000-0004-0000-0000-000006000000}"/>
    <hyperlink ref="AP5944" r:id="rId8" display="http://cdsbib.u-strasbg.fr/cgi-bin/cdsbib?1990RMxAA..21..381G" xr:uid="{00000000-0004-0000-0000-000007000000}"/>
    <hyperlink ref="AP5928" r:id="rId9" display="http://cdsbib.u-strasbg.fr/cgi-bin/cdsbib?1990RMxAA..21..381G" xr:uid="{00000000-0004-0000-0000-000008000000}"/>
    <hyperlink ref="AQ6157" r:id="rId10" display="http://cdsbib.u-strasbg.fr/cgi-bin/cdsbib?1990RMxAA..21..381G" xr:uid="{00000000-0004-0000-0000-000009000000}"/>
    <hyperlink ref="AQ6161" r:id="rId11" display="http://cdsbib.u-strasbg.fr/cgi-bin/cdsbib?1990RMxAA..21..381G" xr:uid="{00000000-0004-0000-0000-00000A000000}"/>
    <hyperlink ref="AQ305" r:id="rId12" display="http://cdsbib.u-strasbg.fr/cgi-bin/cdsbib?1990RMxAA..21..381G" xr:uid="{00000000-0004-0000-0000-00000B000000}"/>
    <hyperlink ref="I3049" r:id="rId13" display="http://vsolj.cetus-net.org/bulletin.html" xr:uid="{00000000-0004-0000-0000-00000C000000}"/>
    <hyperlink ref="H3049" r:id="rId14" display="http://vsolj.cetus-net.org/bulletin.html" xr:uid="{00000000-0004-0000-0000-00000D000000}"/>
    <hyperlink ref="AQ966" r:id="rId15" display="http://cdsbib.u-strasbg.fr/cgi-bin/cdsbib?1990RMxAA..21..381G" xr:uid="{00000000-0004-0000-0000-00000E000000}"/>
    <hyperlink ref="AQ965" r:id="rId16" display="http://cdsbib.u-strasbg.fr/cgi-bin/cdsbib?1990RMxAA..21..381G" xr:uid="{00000000-0004-0000-0000-00000F000000}"/>
    <hyperlink ref="AP4219" r:id="rId17" display="http://cdsbib.u-strasbg.fr/cgi-bin/cdsbib?1990RMxAA..21..381G" xr:uid="{00000000-0004-0000-0000-000010000000}"/>
    <hyperlink ref="AP4237" r:id="rId18" display="http://cdsbib.u-strasbg.fr/cgi-bin/cdsbib?1990RMxAA..21..381G" xr:uid="{00000000-0004-0000-0000-000011000000}"/>
    <hyperlink ref="AP4238" r:id="rId19" display="http://cdsbib.u-strasbg.fr/cgi-bin/cdsbib?1990RMxAA..21..381G" xr:uid="{00000000-0004-0000-0000-000012000000}"/>
    <hyperlink ref="AP423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2024-07-23T06:25:30Z</dcterms:modified>
</cp:coreProperties>
</file>