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BE71D6F-C359-4940-A483-7080854EA4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F14" i="1"/>
  <c r="F15" i="1" l="1"/>
  <c r="E22" i="1"/>
  <c r="F22" i="1" s="1"/>
  <c r="G22" i="1" s="1"/>
  <c r="I22" i="1" s="1"/>
  <c r="E24" i="1"/>
  <c r="F24" i="1" s="1"/>
  <c r="G24" i="1" s="1"/>
  <c r="I24" i="1" s="1"/>
  <c r="E25" i="1"/>
  <c r="F25" i="1" s="1"/>
  <c r="G25" i="1" s="1"/>
  <c r="I25" i="1" s="1"/>
  <c r="Q22" i="1"/>
  <c r="Q24" i="1"/>
  <c r="Q25" i="1"/>
  <c r="F11" i="1"/>
  <c r="E21" i="1"/>
  <c r="F21" i="1" s="1"/>
  <c r="G21" i="1" s="1"/>
  <c r="H21" i="1" s="1"/>
  <c r="H20" i="1"/>
  <c r="G11" i="1"/>
  <c r="C17" i="1"/>
  <c r="Q21" i="1"/>
  <c r="C12" i="1"/>
  <c r="C16" i="1" l="1"/>
  <c r="D18" i="1" s="1"/>
  <c r="C11" i="1"/>
  <c r="O23" i="1" l="1"/>
  <c r="S23" i="1" s="1"/>
  <c r="C15" i="1"/>
  <c r="O24" i="1"/>
  <c r="S24" i="1" s="1"/>
  <c r="O22" i="1"/>
  <c r="S22" i="1" s="1"/>
  <c r="O21" i="1"/>
  <c r="S21" i="1" s="1"/>
  <c r="O25" i="1"/>
  <c r="S25" i="1" s="1"/>
  <c r="F16" i="1" l="1"/>
  <c r="F18" i="1" s="1"/>
  <c r="S19" i="1"/>
  <c r="C18" i="1"/>
  <c r="F17" i="1" l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<sst xmlns="http://schemas.openxmlformats.org/spreadsheetml/2006/main" count="64" uniqueCount="53">
  <si>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</si>
  <si>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</si>
  <si>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</si>
  <si>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</si>
  <si>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</si>
  <si>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</si>
  <si>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</si>
  <si>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</si>
  <si>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</si>
  <si>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</si>
  <si>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</si>
  <si>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</si>
  <si>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</si>
  <si>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</si>
  <si>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</si>
  <si>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</si>
  <si>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</si>
  <si>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</si>
  <si>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</si>
  <si>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</si>
  <si>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</si>
  <si>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</si>
  <si>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</si>
  <si>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</si>
  <si>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</si>
  <si>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</si>
  <si>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</si>
  <si>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</si>
  <si>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</si>
  <si>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</si>
  <si>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</si>
  <si>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</si>
  <si>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</si>
  <si>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</si>
  <si>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</si>
  <si>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</si>
  <si>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</si>
  <si>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</si>
  <si>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</si>
  <si>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V0536 Ara</t>
  </si>
  <si>
    <t>V0536 Ara_Ara.xls</t>
  </si>
  <si>
    <t>EA</t>
  </si>
  <si>
    <t>Ara</t>
  </si>
  <si>
    <t>G8729-2286</t>
  </si>
  <si>
    <t>Kreiner</t>
  </si>
  <si>
    <t>VSS_2013-01-28</t>
  </si>
  <si>
    <t>I</t>
  </si>
  <si>
    <t>CCD</t>
  </si>
  <si>
    <t xml:space="preserve">Mag </t>
  </si>
  <si>
    <t>Next ToM-P</t>
  </si>
  <si>
    <t>Next ToM-S</t>
  </si>
  <si>
    <t>11.70-13.00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</si>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</sst>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0" fillId="2" borderId="1" xfId="0" applyFill="1" applyBorder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7" fillId="0" borderId="9" xfId="0" applyNumberFormat="1" applyFont="1" applyBorder="1" applyAlignment="1">
      <alignment horizontal="right" vertical="center"/>
    </xf>
    <xf numFmtId="22" fontId="17" fillId="0" borderId="10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V0536 Ara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1.5699999996286351E-2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4C-4D51-B5C4-08B6CD77C38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-2.9999999969732016E-4</c:v>
                </c:pt>
                <c:pt idx="3">
                  <c:v>-1.2879999994765967E-3</c:v>
                </c:pt>
                <c:pt idx="4">
                  <c:v>-3.9360000009764917E-3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4C-4D51-B5C4-08B6CD77C38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4C-4D51-B5C4-08B6CD77C38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4C-4D51-B5C4-08B6CD77C38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4C-4D51-B5C4-08B6CD77C38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4C-4D51-B5C4-08B6CD77C38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3">
                    <c:v>1.5E-3</c:v>
                  </c:pt>
                  <c:pt idx="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4C-4D51-B5C4-08B6CD77C38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1.5835682033905195E-2</c:v>
                </c:pt>
                <c:pt idx="1">
                  <c:v>-8.2888329536304726E-4</c:v>
                </c:pt>
                <c:pt idx="2">
                  <c:v>-8.2888329536304726E-4</c:v>
                </c:pt>
                <c:pt idx="3">
                  <c:v>-1.1843940223874366E-3</c:v>
                </c:pt>
                <c:pt idx="4">
                  <c:v>-2.8175214246557246E-3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4C-4D51-B5C4-08B6CD77C38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-1500</c:v>
                </c:pt>
                <c:pt idx="1">
                  <c:v>0</c:v>
                </c:pt>
                <c:pt idx="2">
                  <c:v>0</c:v>
                </c:pt>
                <c:pt idx="3">
                  <c:v>32</c:v>
                </c:pt>
                <c:pt idx="4">
                  <c:v>179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4C-4D51-B5C4-08B6CD77C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994440"/>
        <c:axId val="1"/>
      </c:scatterChart>
      <c:valAx>
        <c:axId val="668994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994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B150A1-DB9C-2515-1665-95072360B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5.710937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39</v>
      </c>
      <c r="E1" t="s">
        <v>40</v>
      </c>
    </row>
    <row r="2" spans="1:7" ht="12.95" customHeight="1" x14ac:dyDescent="0.2">
      <c r="A2" t="s">
        <v>23</v>
      </c>
      <c r="B2" t="s">
        <v>41</v>
      </c>
      <c r="C2" s="27" t="s">
        <v>38</v>
      </c>
      <c r="D2" s="3" t="s">
        <v>42</v>
      </c>
      <c r="E2" s="28" t="s">
        <v>39</v>
      </c>
      <c r="F2" t="s">
        <v>43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5" t="s">
        <v>37</v>
      </c>
      <c r="D4" s="26" t="s">
        <v>37</v>
      </c>
    </row>
    <row r="5" spans="1:7" ht="12.95" customHeight="1" x14ac:dyDescent="0.2"/>
    <row r="6" spans="1:7" ht="12.95" customHeight="1" x14ac:dyDescent="0.2">
      <c r="A6" s="5" t="s">
        <v>1</v>
      </c>
      <c r="E6" s="41" t="s">
        <v>44</v>
      </c>
    </row>
    <row r="7" spans="1:7" ht="12.95" customHeight="1" x14ac:dyDescent="0.2">
      <c r="A7" t="s">
        <v>2</v>
      </c>
      <c r="C7" s="45">
        <v>56062.100299999998</v>
      </c>
      <c r="D7" s="46" t="s">
        <v>52</v>
      </c>
      <c r="E7" s="42">
        <v>52500.99</v>
      </c>
    </row>
    <row r="8" spans="1:7" ht="12.95" customHeight="1" x14ac:dyDescent="0.2">
      <c r="A8" t="s">
        <v>3</v>
      </c>
      <c r="C8" s="45">
        <v>2.3740839999999999</v>
      </c>
      <c r="D8" s="46" t="s">
        <v>52</v>
      </c>
      <c r="E8" s="43">
        <v>2.374082</v>
      </c>
    </row>
    <row r="9" spans="1:7" ht="12.95" customHeight="1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7" ht="12.95" customHeight="1" x14ac:dyDescent="0.2">
      <c r="A11" s="10" t="s">
        <v>15</v>
      </c>
      <c r="B11" s="10"/>
      <c r="C11" s="19">
        <f ca="1">INTERCEPT(INDIRECT($G$11):G992,INDIRECT($F$11):F992)</f>
        <v>-8.2888329536304726E-4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ht="12.95" customHeight="1" x14ac:dyDescent="0.2">
      <c r="A12" s="10" t="s">
        <v>16</v>
      </c>
      <c r="B12" s="10"/>
      <c r="C12" s="19">
        <f ca="1">SLOPE(INDIRECT($G$11):G992,INDIRECT($F$11):F992)</f>
        <v>-1.1109710219512163E-5</v>
      </c>
      <c r="D12" s="3"/>
      <c r="E12" s="32" t="s">
        <v>48</v>
      </c>
      <c r="F12" s="33" t="s">
        <v>51</v>
      </c>
    </row>
    <row r="13" spans="1:7" ht="12.95" customHeight="1" x14ac:dyDescent="0.2">
      <c r="A13" s="10" t="s">
        <v>18</v>
      </c>
      <c r="B13" s="10"/>
      <c r="C13" s="3" t="s">
        <v>13</v>
      </c>
      <c r="D13" s="14"/>
      <c r="E13" s="34" t="s">
        <v>34</v>
      </c>
      <c r="F13" s="35">
        <v>1</v>
      </c>
    </row>
    <row r="14" spans="1:7" ht="12.95" customHeight="1" x14ac:dyDescent="0.2">
      <c r="A14" s="10"/>
      <c r="B14" s="10"/>
      <c r="C14" s="10"/>
      <c r="D14" s="14"/>
      <c r="E14" s="34" t="s">
        <v>31</v>
      </c>
      <c r="F14" s="36">
        <f ca="1">NOW()+15018.5+$C$9/24</f>
        <v>60514.790786342593</v>
      </c>
    </row>
    <row r="15" spans="1:7" ht="12.95" customHeight="1" x14ac:dyDescent="0.2">
      <c r="A15" s="12" t="s">
        <v>17</v>
      </c>
      <c r="B15" s="10"/>
      <c r="C15" s="13">
        <f ca="1">(C7+C11)+(C8+C12)*INT(MAX(F21:F3533))</f>
        <v>56487.058518478574</v>
      </c>
      <c r="D15" s="14"/>
      <c r="E15" s="34" t="s">
        <v>35</v>
      </c>
      <c r="F15" s="36">
        <f ca="1">ROUND(2*($F$14-$C$7)/$C$8,0)/2+$F$13</f>
        <v>1876.5</v>
      </c>
    </row>
    <row r="16" spans="1:7" ht="12.95" customHeight="1" x14ac:dyDescent="0.2">
      <c r="A16" s="15" t="s">
        <v>4</v>
      </c>
      <c r="B16" s="10"/>
      <c r="C16" s="16">
        <f ca="1">+C8+C12</f>
        <v>2.3740728902897805</v>
      </c>
      <c r="D16" s="14"/>
      <c r="E16" s="34" t="s">
        <v>36</v>
      </c>
      <c r="F16" s="36">
        <f ca="1">ROUND(2*($F$14-$C$15)/$C$16,0)/2+$F$13</f>
        <v>1697.5</v>
      </c>
    </row>
    <row r="17" spans="1:19" ht="12.95" customHeight="1" thickBot="1" x14ac:dyDescent="0.25">
      <c r="A17" s="14" t="s">
        <v>28</v>
      </c>
      <c r="B17" s="10"/>
      <c r="C17" s="10">
        <f>COUNT(C21:C2191)</f>
        <v>5</v>
      </c>
      <c r="D17" s="14"/>
      <c r="E17" s="37" t="s">
        <v>49</v>
      </c>
      <c r="F17" s="38">
        <f ca="1">+$C$15+$C$16*$F$16-15018.5-$C$9/24</f>
        <v>45498.943083078811</v>
      </c>
    </row>
    <row r="18" spans="1:19" ht="12.95" customHeight="1" thickTop="1" thickBot="1" x14ac:dyDescent="0.25">
      <c r="A18" s="15" t="s">
        <v>5</v>
      </c>
      <c r="B18" s="10"/>
      <c r="C18" s="17">
        <f ca="1">+C15</f>
        <v>56487.058518478574</v>
      </c>
      <c r="D18" s="18">
        <f ca="1">+C16</f>
        <v>2.3740728902897805</v>
      </c>
      <c r="E18" s="40" t="s">
        <v>50</v>
      </c>
      <c r="F18" s="39">
        <f ca="1">+($C$15+$C$16*$F$16)-($C$16/2)-15018.5-$C$9/24</f>
        <v>45497.756046633665</v>
      </c>
    </row>
    <row r="19" spans="1:19" ht="12.95" customHeight="1" thickTop="1" x14ac:dyDescent="0.2">
      <c r="A19" s="22" t="s">
        <v>32</v>
      </c>
      <c r="E19" s="23">
        <v>21</v>
      </c>
      <c r="S19">
        <f ca="1">SQRT(SUM(S21:S50)/(COUNT(S21:S50)-1))</f>
        <v>7.4948368849423212E-4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Kreiner</v>
      </c>
      <c r="I20" s="7" t="s">
        <v>47</v>
      </c>
      <c r="J20" s="7" t="s">
        <v>52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9" ht="12.95" customHeight="1" x14ac:dyDescent="0.2">
      <c r="A21" t="s">
        <v>44</v>
      </c>
      <c r="C21" s="8">
        <v>52500.99</v>
      </c>
      <c r="D21" s="8" t="s">
        <v>13</v>
      </c>
      <c r="E21">
        <f>+(C21-C$7)/C$8</f>
        <v>-1499.9933869231252</v>
      </c>
      <c r="F21">
        <f>ROUND(2*E21,0)/2</f>
        <v>-1500</v>
      </c>
      <c r="G21">
        <f>+C21-(C$7+F21*C$8)</f>
        <v>1.5699999996286351E-2</v>
      </c>
      <c r="H21">
        <f>+G21</f>
        <v>1.5699999996286351E-2</v>
      </c>
      <c r="O21">
        <f ca="1">+C$11+C$12*$F21</f>
        <v>1.5835682033905195E-2</v>
      </c>
      <c r="Q21" s="2">
        <f>+C21-15018.5</f>
        <v>37482.49</v>
      </c>
      <c r="S21">
        <f ca="1">+(O21-G21)^2</f>
        <v>1.8409615332401295E-8</v>
      </c>
    </row>
    <row r="22" spans="1:19" ht="12.95" customHeight="1" x14ac:dyDescent="0.2">
      <c r="A22" s="29" t="s">
        <v>45</v>
      </c>
      <c r="B22" s="30" t="s">
        <v>46</v>
      </c>
      <c r="C22" s="31">
        <v>56062.1</v>
      </c>
      <c r="D22" s="31">
        <v>1.1999999999999999E-3</v>
      </c>
      <c r="E22">
        <f>+(C22-C$7)/C$8</f>
        <v>-1.2636452614874627E-4</v>
      </c>
      <c r="F22">
        <f>ROUND(2*E22,0)/2</f>
        <v>0</v>
      </c>
      <c r="G22">
        <f>+C22-(C$7+F22*C$8)</f>
        <v>-2.9999999969732016E-4</v>
      </c>
      <c r="I22">
        <f>+G22</f>
        <v>-2.9999999969732016E-4</v>
      </c>
      <c r="O22">
        <f ca="1">+C$11+C$12*$F22</f>
        <v>-8.2888329536304726E-4</v>
      </c>
      <c r="Q22" s="2">
        <f>+C22-15018.5</f>
        <v>41043.599999999999</v>
      </c>
      <c r="S22">
        <f ca="1">+(O22-G22)^2</f>
        <v>2.7971754043424091E-7</v>
      </c>
    </row>
    <row r="23" spans="1:19" ht="12.95" customHeight="1" x14ac:dyDescent="0.2">
      <c r="A23" s="44" t="s">
        <v>52</v>
      </c>
      <c r="C23" s="8">
        <v>56062.100299999998</v>
      </c>
      <c r="D23" s="8"/>
      <c r="E23">
        <f>+(C23-C$7)/C$8</f>
        <v>0</v>
      </c>
      <c r="F23">
        <f>ROUND(2*E23,0)/2</f>
        <v>0</v>
      </c>
      <c r="G23">
        <f>+C23-(C$7+F23*C$8)</f>
        <v>0</v>
      </c>
      <c r="J23">
        <f>+G23</f>
        <v>0</v>
      </c>
      <c r="O23">
        <f ca="1">+C$11+C$12*$F23</f>
        <v>-8.2888329536304726E-4</v>
      </c>
      <c r="Q23" s="2">
        <f>+C23-15018.5</f>
        <v>41043.600299999998</v>
      </c>
      <c r="S23">
        <f ca="1">+(O23-G23)^2</f>
        <v>6.8704751733190461E-7</v>
      </c>
    </row>
    <row r="24" spans="1:19" ht="12.95" customHeight="1" x14ac:dyDescent="0.2">
      <c r="A24" s="29" t="s">
        <v>45</v>
      </c>
      <c r="B24" s="30" t="s">
        <v>46</v>
      </c>
      <c r="C24" s="31">
        <v>56138.0697</v>
      </c>
      <c r="D24" s="31">
        <v>1.5E-3</v>
      </c>
      <c r="E24">
        <f>+(C24-C$7)/C$8</f>
        <v>31.999457474967933</v>
      </c>
      <c r="F24">
        <f>ROUND(2*E24,0)/2</f>
        <v>32</v>
      </c>
      <c r="G24">
        <f>+C24-(C$7+F24*C$8)</f>
        <v>-1.2879999994765967E-3</v>
      </c>
      <c r="I24">
        <f>+G24</f>
        <v>-1.2879999994765967E-3</v>
      </c>
      <c r="O24">
        <f ca="1">+C$11+C$12*$F24</f>
        <v>-1.1843940223874366E-3</v>
      </c>
      <c r="Q24" s="2">
        <f>+C24-15018.5</f>
        <v>41119.5697</v>
      </c>
      <c r="S24">
        <f ca="1">+(O24-G24)^2</f>
        <v>1.0734198488599571E-8</v>
      </c>
    </row>
    <row r="25" spans="1:19" ht="12.95" customHeight="1" x14ac:dyDescent="0.2">
      <c r="A25" s="29" t="s">
        <v>45</v>
      </c>
      <c r="B25" s="30" t="s">
        <v>46</v>
      </c>
      <c r="C25" s="31">
        <v>56487.057399999998</v>
      </c>
      <c r="D25" s="31">
        <v>1E-4</v>
      </c>
      <c r="E25">
        <f>+(C25-C$7)/C$8</f>
        <v>178.9983420974151</v>
      </c>
      <c r="F25">
        <f>ROUND(2*E25,0)/2</f>
        <v>179</v>
      </c>
      <c r="G25">
        <f>+C25-(C$7+F25*C$8)</f>
        <v>-3.9360000009764917E-3</v>
      </c>
      <c r="I25">
        <f>+G25</f>
        <v>-3.9360000009764917E-3</v>
      </c>
      <c r="O25">
        <f ca="1">+C$11+C$12*$F25</f>
        <v>-2.8175214246557246E-3</v>
      </c>
      <c r="Q25" s="2">
        <f>+C25-15018.5</f>
        <v>41468.557399999998</v>
      </c>
      <c r="S25">
        <f ca="1">+(O25-G25)^2</f>
        <v>1.2509943256885302E-6</v>
      </c>
    </row>
    <row r="26" spans="1:19" ht="12.95" customHeight="1" x14ac:dyDescent="0.2">
      <c r="C26" s="8"/>
      <c r="D26" s="8"/>
      <c r="Q26" s="2"/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W29">
    <sortCondition ref="C21:C29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2024-07-23T06:58:43Z</dcterms:modified>
</cp:coreProperties>
</file>