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20DAF1C-465D-41CE-8537-EA01687151A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Graphs 2" sheetId="3" r:id="rId3"/>
  </sheets>
  <calcPr calcId="181029"/>
</workbook>
</file>

<file path=xl/calcChain.xml><?xml version="1.0" encoding="utf-8"?>
<calcChain xmlns="http://schemas.openxmlformats.org/spreadsheetml/2006/main">
  <c r="C7" i="2" l="1"/>
  <c r="E23" i="2"/>
  <c r="F23" i="2"/>
  <c r="G23" i="2"/>
  <c r="H23" i="2"/>
  <c r="F11" i="2"/>
  <c r="E25" i="2"/>
  <c r="F25" i="2"/>
  <c r="E26" i="2"/>
  <c r="F26" i="2"/>
  <c r="E28" i="2"/>
  <c r="F28" i="2"/>
  <c r="G28" i="2"/>
  <c r="H28" i="2"/>
  <c r="E29" i="2"/>
  <c r="F29" i="2"/>
  <c r="G11" i="2"/>
  <c r="E15" i="2"/>
  <c r="C17" i="2"/>
  <c r="Q21" i="2"/>
  <c r="Q22" i="2"/>
  <c r="Q23" i="2"/>
  <c r="Q24" i="2"/>
  <c r="Q25" i="2"/>
  <c r="Q26" i="2"/>
  <c r="Q27" i="2"/>
  <c r="Q28" i="2"/>
  <c r="Q29" i="2"/>
  <c r="G11" i="1"/>
  <c r="F11" i="1"/>
  <c r="Q22" i="1"/>
  <c r="Q23" i="1"/>
  <c r="Q24" i="1"/>
  <c r="Q25" i="1"/>
  <c r="Q26" i="1"/>
  <c r="Q27" i="1"/>
  <c r="Q28" i="1"/>
  <c r="Q29" i="1"/>
  <c r="C7" i="1"/>
  <c r="E26" i="1"/>
  <c r="F26" i="1"/>
  <c r="C8" i="1"/>
  <c r="E15" i="1"/>
  <c r="C17" i="1"/>
  <c r="Q21" i="1"/>
  <c r="E23" i="1"/>
  <c r="F23" i="1"/>
  <c r="E28" i="1"/>
  <c r="F28" i="1"/>
  <c r="G27" i="1"/>
  <c r="H27" i="1"/>
  <c r="E25" i="1"/>
  <c r="F25" i="1"/>
  <c r="G25" i="1"/>
  <c r="H25" i="1"/>
  <c r="G22" i="1"/>
  <c r="H22" i="1"/>
  <c r="E22" i="2"/>
  <c r="F22" i="2"/>
  <c r="G22" i="2"/>
  <c r="G29" i="2"/>
  <c r="H29" i="2"/>
  <c r="E27" i="2"/>
  <c r="F27" i="2"/>
  <c r="G27" i="2"/>
  <c r="H27" i="2"/>
  <c r="G21" i="1"/>
  <c r="E27" i="1"/>
  <c r="F27" i="1"/>
  <c r="E22" i="1"/>
  <c r="F22" i="1"/>
  <c r="G26" i="2"/>
  <c r="H26" i="2"/>
  <c r="E24" i="2"/>
  <c r="F24" i="2"/>
  <c r="G24" i="2"/>
  <c r="H24" i="2"/>
  <c r="E21" i="2"/>
  <c r="F21" i="2"/>
  <c r="G21" i="2"/>
  <c r="H21" i="2"/>
  <c r="G26" i="1"/>
  <c r="H26" i="1"/>
  <c r="E24" i="1"/>
  <c r="F24" i="1"/>
  <c r="G24" i="1"/>
  <c r="H24" i="1"/>
  <c r="E21" i="1"/>
  <c r="F21" i="1"/>
  <c r="E29" i="1"/>
  <c r="F29" i="1"/>
  <c r="G29" i="1"/>
  <c r="H29" i="1"/>
  <c r="G23" i="1"/>
  <c r="H23" i="1"/>
  <c r="G28" i="1"/>
  <c r="H28" i="1"/>
  <c r="G25" i="2"/>
  <c r="H25" i="2"/>
  <c r="H22" i="2"/>
  <c r="H21" i="1"/>
  <c r="C11" i="2"/>
  <c r="C12" i="2"/>
  <c r="C11" i="1"/>
  <c r="C16" i="2" l="1"/>
  <c r="D18" i="2" s="1"/>
  <c r="O25" i="2"/>
  <c r="C15" i="2"/>
  <c r="O28" i="2"/>
  <c r="O26" i="2"/>
  <c r="O23" i="2"/>
  <c r="O21" i="2"/>
  <c r="O29" i="2"/>
  <c r="O22" i="2"/>
  <c r="O24" i="2"/>
  <c r="O27" i="2"/>
  <c r="C12" i="1"/>
  <c r="C16" i="1" l="1"/>
  <c r="D18" i="1" s="1"/>
  <c r="O28" i="1"/>
  <c r="O25" i="1"/>
  <c r="O23" i="1"/>
  <c r="O26" i="1"/>
  <c r="C15" i="1"/>
  <c r="O21" i="1"/>
  <c r="O29" i="1"/>
  <c r="O22" i="1"/>
  <c r="O27" i="1"/>
  <c r="O24" i="1"/>
  <c r="C18" i="2"/>
  <c r="E16" i="2"/>
  <c r="E17" i="2" s="1"/>
  <c r="C18" i="1" l="1"/>
  <c r="E16" i="1"/>
  <c r="E17" i="1" s="1"/>
</calcChain>
</file>

<file path=xl/sharedStrings.xml><?xml version="1.0" encoding="utf-8"?>
<sst xmlns="http://schemas.openxmlformats.org/spreadsheetml/2006/main" count="118" uniqueCount="45">
  <si>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</si>
  <si>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</si>
  <si>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</si>
  <si>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</si>
  <si>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</si>
  <si>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</si>
  <si>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</si>
  <si>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</si>
  <si>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</si>
  <si>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</si>
  <si>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</si>
  <si>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</si>
  <si>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</si>
  <si>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</si>
  <si>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</si>
  <si>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</si>
  <si>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</si>
  <si>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</si>
  <si>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</si>
  <si>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</si>
  <si>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</si>
  <si>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</si>
  <si>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</si>
  <si>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</si>
  <si>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</si>
  <si>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</si>
  <si>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</si>
  <si>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</si>
  <si>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</si>
  <si>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</si>
  <si>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</si>
  <si>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</si>
  <si>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</si>
  <si>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</si>
  <si>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</si>
  <si>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</si>
  <si>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</si>
  <si>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EW?</t>
  </si>
  <si>
    <t>IBVS 5500 Eph.</t>
  </si>
  <si>
    <t>IBVS 5500</t>
  </si>
  <si>
    <t>V0646 Aur / GSC 2936-0478</t>
  </si>
  <si>
    <t>OEJV 0168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</si>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</sst>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1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2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V0646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40601503759398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5.6369999998423737E-2</c:v>
                </c:pt>
                <c:pt idx="2">
                  <c:v>-2.7500000069267116E-3</c:v>
                </c:pt>
                <c:pt idx="3">
                  <c:v>-5.0320000002102461E-2</c:v>
                </c:pt>
                <c:pt idx="4">
                  <c:v>0.10155999999551568</c:v>
                </c:pt>
                <c:pt idx="5">
                  <c:v>0.10062999999354361</c:v>
                </c:pt>
                <c:pt idx="6">
                  <c:v>9.6770000003743917E-2</c:v>
                </c:pt>
                <c:pt idx="7">
                  <c:v>0.10440999999991618</c:v>
                </c:pt>
                <c:pt idx="8">
                  <c:v>0.10068999999930384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7-467F-928C-4590B3CF6DC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7-467F-928C-4590B3CF6DC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7-467F-928C-4590B3CF6DC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7-467F-928C-4590B3CF6DC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97-467F-928C-4590B3CF6DC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97-467F-928C-4590B3CF6DC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97-467F-928C-4590B3CF6DC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8415</c:v>
                </c:pt>
                <c:pt idx="2">
                  <c:v>8415.5</c:v>
                </c:pt>
                <c:pt idx="3">
                  <c:v>8468</c:v>
                </c:pt>
                <c:pt idx="4">
                  <c:v>8460.5</c:v>
                </c:pt>
                <c:pt idx="5">
                  <c:v>8458.5</c:v>
                </c:pt>
                <c:pt idx="6">
                  <c:v>8488</c:v>
                </c:pt>
                <c:pt idx="7">
                  <c:v>8452</c:v>
                </c:pt>
                <c:pt idx="8">
                  <c:v>8456.5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-3.262604386922302E-4</c:v>
                </c:pt>
                <c:pt idx="1">
                  <c:v>6.3183422972553763E-2</c:v>
                </c:pt>
                <c:pt idx="2">
                  <c:v>6.3187196572281099E-2</c:v>
                </c:pt>
                <c:pt idx="3">
                  <c:v>6.3583424543652511E-2</c:v>
                </c:pt>
                <c:pt idx="4">
                  <c:v>6.3526820547742308E-2</c:v>
                </c:pt>
                <c:pt idx="5">
                  <c:v>6.3511726148832923E-2</c:v>
                </c:pt>
                <c:pt idx="6">
                  <c:v>6.3734368532746388E-2</c:v>
                </c:pt>
                <c:pt idx="7">
                  <c:v>6.3462669352377418E-2</c:v>
                </c:pt>
                <c:pt idx="8">
                  <c:v>6.3496631749923538E-2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97-467F-928C-4590B3CF6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707576"/>
        <c:axId val="1"/>
      </c:scatterChart>
      <c:valAx>
        <c:axId val="57170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70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53064690443099"/>
          <c:w val="0.6345864661654135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V0646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117667333506626"/>
          <c:w val="0.8406015037593984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17.547599999998056</c:v>
                </c:pt>
                <c:pt idx="1">
                  <c:v>0.10463999999774387</c:v>
                </c:pt>
                <c:pt idx="2">
                  <c:v>4.5574999996460974E-2</c:v>
                </c:pt>
                <c:pt idx="3">
                  <c:v>3.7799999990966171E-3</c:v>
                </c:pt>
                <c:pt idx="4">
                  <c:v>-6.4510000003792811E-2</c:v>
                </c:pt>
                <c:pt idx="5">
                  <c:v>-6.5660000007483177E-2</c:v>
                </c:pt>
                <c:pt idx="6">
                  <c:v>-6.6274999997403938E-2</c:v>
                </c:pt>
                <c:pt idx="7">
                  <c:v>-6.2595000003057066E-2</c:v>
                </c:pt>
                <c:pt idx="8">
                  <c:v>-6.5819999996165279E-2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6-4F5B-9237-E86C62FE34F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6-4F5B-9237-E86C62FE34F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D6-4F5B-9237-E86C62FE34F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D6-4F5B-9237-E86C62FE34F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D6-4F5B-9237-E86C62FE34F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D6-4F5B-9237-E86C62FE34F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D6-4F5B-9237-E86C62FE34F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17.720131710446982</c:v>
                </c:pt>
                <c:pt idx="1">
                  <c:v>5.6054063456443259E-2</c:v>
                </c:pt>
                <c:pt idx="2">
                  <c:v>5.500971690051415E-2</c:v>
                </c:pt>
                <c:pt idx="3">
                  <c:v>-5.4646671472077912E-2</c:v>
                </c:pt>
                <c:pt idx="4">
                  <c:v>-4.0025819689063269E-2</c:v>
                </c:pt>
                <c:pt idx="5">
                  <c:v>-3.584843346534683E-2</c:v>
                </c:pt>
                <c:pt idx="6">
                  <c:v>-9.7464880265182074E-2</c:v>
                </c:pt>
                <c:pt idx="7">
                  <c:v>-2.2271928238264849E-2</c:v>
                </c:pt>
                <c:pt idx="8">
                  <c:v>-3.167104724163039E-2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D6-4F5B-9237-E86C62FE3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70152"/>
        <c:axId val="1"/>
      </c:scatterChart>
      <c:valAx>
        <c:axId val="406970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970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53064690443099"/>
          <c:w val="0.6345864661654135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V0646 Aur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76246334310852"/>
          <c:w val="0.8333345552601750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17.547599999998056</c:v>
                </c:pt>
                <c:pt idx="1">
                  <c:v>0.10463999999774387</c:v>
                </c:pt>
                <c:pt idx="2">
                  <c:v>4.5574999996460974E-2</c:v>
                </c:pt>
                <c:pt idx="3">
                  <c:v>3.7799999990966171E-3</c:v>
                </c:pt>
                <c:pt idx="4">
                  <c:v>-6.4510000003792811E-2</c:v>
                </c:pt>
                <c:pt idx="5">
                  <c:v>-6.5660000007483177E-2</c:v>
                </c:pt>
                <c:pt idx="6">
                  <c:v>-6.6274999997403938E-2</c:v>
                </c:pt>
                <c:pt idx="7">
                  <c:v>-6.2595000003057066E-2</c:v>
                </c:pt>
                <c:pt idx="8">
                  <c:v>-6.5819999996165279E-2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C1-4434-81AC-21DF15DC46B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C1-4434-81AC-21DF15DC46B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C1-4434-81AC-21DF15DC46B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C1-4434-81AC-21DF15DC46B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C1-4434-81AC-21DF15DC46B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C1-4434-81AC-21DF15DC46B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C1-4434-81AC-21DF15DC46B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17.720131710446982</c:v>
                </c:pt>
                <c:pt idx="1">
                  <c:v>5.6054063456443259E-2</c:v>
                </c:pt>
                <c:pt idx="2">
                  <c:v>5.500971690051415E-2</c:v>
                </c:pt>
                <c:pt idx="3">
                  <c:v>-5.4646671472077912E-2</c:v>
                </c:pt>
                <c:pt idx="4">
                  <c:v>-4.0025819689063269E-2</c:v>
                </c:pt>
                <c:pt idx="5">
                  <c:v>-3.584843346534683E-2</c:v>
                </c:pt>
                <c:pt idx="6">
                  <c:v>-9.7464880265182074E-2</c:v>
                </c:pt>
                <c:pt idx="7">
                  <c:v>-2.2271928238264849E-2</c:v>
                </c:pt>
                <c:pt idx="8">
                  <c:v>-3.167104724163039E-2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C1-4434-81AC-21DF15DC4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129800"/>
        <c:axId val="1"/>
      </c:scatterChart>
      <c:valAx>
        <c:axId val="574129800"/>
        <c:scaling>
          <c:orientation val="minMax"/>
          <c:min val="8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129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74506002065055"/>
          <c:y val="0.92375366568914952"/>
          <c:w val="0.633634579461351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V0646 Aur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76246334310852"/>
          <c:w val="0.83183305155700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17.547599999998056</c:v>
                </c:pt>
                <c:pt idx="1">
                  <c:v>0.10463999999774387</c:v>
                </c:pt>
                <c:pt idx="2">
                  <c:v>4.5574999996460974E-2</c:v>
                </c:pt>
                <c:pt idx="3">
                  <c:v>3.7799999990966171E-3</c:v>
                </c:pt>
                <c:pt idx="4">
                  <c:v>-6.4510000003792811E-2</c:v>
                </c:pt>
                <c:pt idx="5">
                  <c:v>-6.5660000007483177E-2</c:v>
                </c:pt>
                <c:pt idx="6">
                  <c:v>-6.6274999997403938E-2</c:v>
                </c:pt>
                <c:pt idx="7">
                  <c:v>-6.2595000003057066E-2</c:v>
                </c:pt>
                <c:pt idx="8">
                  <c:v>-6.5819999996165279E-2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C-4954-A60A-45AE23B72288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C-4954-A60A-45AE23B7228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C-4954-A60A-45AE23B7228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C-4954-A60A-45AE23B7228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C-4954-A60A-45AE23B7228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C-4954-A60A-45AE23B7228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C-4954-A60A-45AE23B72288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-40</c:v>
                </c:pt>
                <c:pt idx="1">
                  <c:v>8417</c:v>
                </c:pt>
                <c:pt idx="2">
                  <c:v>8417.5</c:v>
                </c:pt>
                <c:pt idx="3">
                  <c:v>8470</c:v>
                </c:pt>
                <c:pt idx="4">
                  <c:v>8463</c:v>
                </c:pt>
                <c:pt idx="5">
                  <c:v>8461</c:v>
                </c:pt>
                <c:pt idx="6">
                  <c:v>8490.5</c:v>
                </c:pt>
                <c:pt idx="7">
                  <c:v>8454.5</c:v>
                </c:pt>
                <c:pt idx="8">
                  <c:v>8459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17.720131710446982</c:v>
                </c:pt>
                <c:pt idx="1">
                  <c:v>5.6054063456443259E-2</c:v>
                </c:pt>
                <c:pt idx="2">
                  <c:v>5.500971690051415E-2</c:v>
                </c:pt>
                <c:pt idx="3">
                  <c:v>-5.4646671472077912E-2</c:v>
                </c:pt>
                <c:pt idx="4">
                  <c:v>-4.0025819689063269E-2</c:v>
                </c:pt>
                <c:pt idx="5">
                  <c:v>-3.584843346534683E-2</c:v>
                </c:pt>
                <c:pt idx="6">
                  <c:v>-9.7464880265182074E-2</c:v>
                </c:pt>
                <c:pt idx="7">
                  <c:v>-2.2271928238264849E-2</c:v>
                </c:pt>
                <c:pt idx="8">
                  <c:v>-3.167104724163039E-2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C-4954-A60A-45AE23B72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6024"/>
        <c:axId val="1"/>
      </c:scatterChart>
      <c:valAx>
        <c:axId val="397336024"/>
        <c:scaling>
          <c:orientation val="minMax"/>
          <c:max val="200"/>
          <c:min val="-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33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74806302365357"/>
          <c:y val="0.92375366568914952"/>
          <c:w val="0.633634579461351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1E6FCB-2DA5-20C3-6BA1-7AFC0C96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523875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D323702E-1B2B-C08F-2B11-FAEB72EC1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0</xdr:rowOff>
    </xdr:from>
    <xdr:to>
      <xdr:col>27</xdr:col>
      <xdr:colOff>104775</xdr:colOff>
      <xdr:row>19</xdr:row>
      <xdr:rowOff>9525</xdr:rowOff>
    </xdr:to>
    <xdr:graphicFrame macro="">
      <xdr:nvGraphicFramePr>
        <xdr:cNvPr id="50181" name="Chart 2">
          <a:extLst>
            <a:ext uri="{FF2B5EF4-FFF2-40B4-BE49-F238E27FC236}">
              <a16:creationId xmlns:a16="http://schemas.microsoft.com/office/drawing/2014/main" id="{07C5DEA3-E942-D3D1-B642-8E0F102C4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10</xdr:col>
      <xdr:colOff>381000</xdr:colOff>
      <xdr:row>20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E1E32D4-EECB-B8FC-CAF4-D5BC1470D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23</v>
      </c>
      <c r="B2" t="s">
        <v>37</v>
      </c>
      <c r="C2" s="3"/>
      <c r="D2" s="3"/>
    </row>
    <row r="3" spans="1:7" ht="13.5" thickBot="1"/>
    <row r="4" spans="1:7" ht="13.5" thickBot="1">
      <c r="A4" s="29" t="s">
        <v>38</v>
      </c>
      <c r="C4" s="27">
        <v>53000.714800000002</v>
      </c>
      <c r="D4" s="28">
        <v>0.43880000000000002</v>
      </c>
    </row>
    <row r="6" spans="1:7">
      <c r="A6" s="5" t="s">
        <v>0</v>
      </c>
    </row>
    <row r="7" spans="1:7">
      <c r="A7" t="s">
        <v>1</v>
      </c>
      <c r="C7">
        <f>+C4</f>
        <v>53000.714800000002</v>
      </c>
    </row>
    <row r="8" spans="1:7">
      <c r="A8" t="s">
        <v>2</v>
      </c>
      <c r="C8">
        <f>+D4</f>
        <v>0.43880000000000002</v>
      </c>
    </row>
    <row r="9" spans="1:7">
      <c r="A9" s="9" t="s">
        <v>30</v>
      </c>
      <c r="B9" s="10"/>
      <c r="C9" s="11">
        <v>8</v>
      </c>
      <c r="D9" s="10" t="s">
        <v>31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14</v>
      </c>
      <c r="B11" s="10"/>
      <c r="C11" s="22">
        <f ca="1">INTERCEPT(INDIRECT($G$11):G992,INDIRECT($F$11):F992)</f>
        <v>-3.262604386922302E-4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15</v>
      </c>
      <c r="B12" s="10"/>
      <c r="C12" s="22">
        <f ca="1">SLOPE(INDIRECT($G$11):G992,INDIRECT($F$11):F992)</f>
        <v>7.5471994546935221E-6</v>
      </c>
      <c r="D12" s="3"/>
      <c r="E12" s="10"/>
    </row>
    <row r="13" spans="1:7">
      <c r="A13" s="10" t="s">
        <v>18</v>
      </c>
      <c r="B13" s="10"/>
      <c r="C13" s="3" t="s">
        <v>12</v>
      </c>
      <c r="D13" s="3"/>
      <c r="E13" s="10"/>
    </row>
    <row r="14" spans="1:7">
      <c r="A14" s="10"/>
      <c r="B14" s="10"/>
      <c r="C14" s="10"/>
      <c r="D14" s="10"/>
      <c r="E14" s="10"/>
    </row>
    <row r="15" spans="1:7">
      <c r="A15" s="12" t="s">
        <v>16</v>
      </c>
      <c r="B15" s="10"/>
      <c r="C15" s="13">
        <f ca="1">(C7+C11)+(C8+C12)*INT(MAX(F21:F3533))</f>
        <v>56725.312934368536</v>
      </c>
      <c r="D15" s="14" t="s">
        <v>32</v>
      </c>
      <c r="E15" s="15">
        <f ca="1">TODAY()+15018.5-B9/24</f>
        <v>60324.5</v>
      </c>
    </row>
    <row r="16" spans="1:7">
      <c r="A16" s="16" t="s">
        <v>3</v>
      </c>
      <c r="B16" s="10"/>
      <c r="C16" s="17">
        <f ca="1">+C8+C12</f>
        <v>0.43880754719945469</v>
      </c>
      <c r="D16" s="14" t="s">
        <v>33</v>
      </c>
      <c r="E16" s="15">
        <f ca="1">ROUND(2*(E15-C15)/C16,0)/2+1</f>
        <v>8203</v>
      </c>
    </row>
    <row r="17" spans="1:17" ht="13.5" thickBot="1">
      <c r="A17" s="14" t="s">
        <v>29</v>
      </c>
      <c r="B17" s="10"/>
      <c r="C17" s="10">
        <f>COUNT(C21:C2191)</f>
        <v>9</v>
      </c>
      <c r="D17" s="14" t="s">
        <v>34</v>
      </c>
      <c r="E17" s="18">
        <f ca="1">+C15+C16*E16-15018.5-C9/24</f>
        <v>45306.017910712326</v>
      </c>
    </row>
    <row r="18" spans="1:17" ht="14.25" thickTop="1" thickBot="1">
      <c r="A18" s="16" t="s">
        <v>4</v>
      </c>
      <c r="B18" s="10"/>
      <c r="C18" s="19">
        <f ca="1">+C15</f>
        <v>56725.312934368536</v>
      </c>
      <c r="D18" s="20">
        <f ca="1">+C16</f>
        <v>0.43880754719945469</v>
      </c>
      <c r="E18" s="21" t="s">
        <v>35</v>
      </c>
    </row>
    <row r="19" spans="1:17" ht="13.5" thickTop="1">
      <c r="A19" s="25" t="s">
        <v>36</v>
      </c>
      <c r="E19" s="26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44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>
      <c r="A21" t="s">
        <v>39</v>
      </c>
      <c r="C21" s="8">
        <v>53000.714800000002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-3.262604386922302E-4</v>
      </c>
      <c r="Q21" s="2">
        <f>+C21-15018.5</f>
        <v>37982.214800000002</v>
      </c>
    </row>
    <row r="22" spans="1:17">
      <c r="A22" s="30" t="s">
        <v>41</v>
      </c>
      <c r="B22" s="31" t="s">
        <v>42</v>
      </c>
      <c r="C22" s="32">
        <v>56693.27317</v>
      </c>
      <c r="D22" s="30">
        <v>1.1999999999999999E-3</v>
      </c>
      <c r="E22">
        <f t="shared" ref="E22:E29" si="0">+(C22-C$7)/C$8</f>
        <v>8415.1284639927035</v>
      </c>
      <c r="F22">
        <f t="shared" ref="F22:F29" si="1">ROUND(2*E22,0)/2</f>
        <v>8415</v>
      </c>
      <c r="G22">
        <f t="shared" ref="G22:G29" si="2">+C22-(C$7+F22*C$8)</f>
        <v>5.6369999998423737E-2</v>
      </c>
      <c r="H22">
        <f t="shared" ref="H22:H29" si="3">+G22</f>
        <v>5.6369999998423737E-2</v>
      </c>
      <c r="O22">
        <f t="shared" ref="O22:O29" ca="1" si="4">+C$11+C$12*$F22</f>
        <v>6.3183422972553763E-2</v>
      </c>
      <c r="Q22" s="2">
        <f t="shared" ref="Q22:Q29" si="5">+C22-15018.5</f>
        <v>41674.77317</v>
      </c>
    </row>
    <row r="23" spans="1:17">
      <c r="A23" s="30" t="s">
        <v>41</v>
      </c>
      <c r="B23" s="31" t="s">
        <v>43</v>
      </c>
      <c r="C23" s="32">
        <v>56693.433449999997</v>
      </c>
      <c r="D23" s="30">
        <v>8.9999999999999998E-4</v>
      </c>
      <c r="E23">
        <f t="shared" si="0"/>
        <v>8415.4937329079203</v>
      </c>
      <c r="F23">
        <f t="shared" si="1"/>
        <v>8415.5</v>
      </c>
      <c r="G23">
        <f t="shared" si="2"/>
        <v>-2.7500000069267116E-3</v>
      </c>
      <c r="H23">
        <f t="shared" si="3"/>
        <v>-2.7500000069267116E-3</v>
      </c>
      <c r="O23">
        <f t="shared" ca="1" si="4"/>
        <v>6.3187196572281099E-2</v>
      </c>
      <c r="Q23" s="2">
        <f t="shared" si="5"/>
        <v>41674.933449999997</v>
      </c>
    </row>
    <row r="24" spans="1:17">
      <c r="A24" s="30" t="s">
        <v>41</v>
      </c>
      <c r="B24" s="31" t="s">
        <v>42</v>
      </c>
      <c r="C24" s="32">
        <v>56716.422879999998</v>
      </c>
      <c r="D24" s="30">
        <v>8.9999999999999998E-4</v>
      </c>
      <c r="E24">
        <f t="shared" si="0"/>
        <v>8467.8853236098366</v>
      </c>
      <c r="F24">
        <f t="shared" si="1"/>
        <v>8468</v>
      </c>
      <c r="G24">
        <f t="shared" si="2"/>
        <v>-5.0320000002102461E-2</v>
      </c>
      <c r="H24">
        <f t="shared" si="3"/>
        <v>-5.0320000002102461E-2</v>
      </c>
      <c r="O24">
        <f t="shared" ca="1" si="4"/>
        <v>6.3583424543652511E-2</v>
      </c>
      <c r="Q24" s="2">
        <f t="shared" si="5"/>
        <v>41697.922879999998</v>
      </c>
    </row>
    <row r="25" spans="1:17">
      <c r="A25" s="30" t="s">
        <v>41</v>
      </c>
      <c r="B25" s="31" t="s">
        <v>42</v>
      </c>
      <c r="C25" s="32">
        <v>56713.283759999998</v>
      </c>
      <c r="D25" s="30">
        <v>8.0000000000000004E-4</v>
      </c>
      <c r="E25">
        <f t="shared" si="0"/>
        <v>8460.7314494074672</v>
      </c>
      <c r="F25">
        <f t="shared" si="1"/>
        <v>8460.5</v>
      </c>
      <c r="G25">
        <f t="shared" si="2"/>
        <v>0.10155999999551568</v>
      </c>
      <c r="H25">
        <f t="shared" si="3"/>
        <v>0.10155999999551568</v>
      </c>
      <c r="O25">
        <f t="shared" ca="1" si="4"/>
        <v>6.3526820547742308E-2</v>
      </c>
      <c r="Q25" s="2">
        <f t="shared" si="5"/>
        <v>41694.783759999998</v>
      </c>
    </row>
    <row r="26" spans="1:17">
      <c r="A26" s="30" t="s">
        <v>41</v>
      </c>
      <c r="B26" s="31" t="s">
        <v>42</v>
      </c>
      <c r="C26" s="32">
        <v>56712.405229999997</v>
      </c>
      <c r="D26" s="30">
        <v>2.0000000000000001E-4</v>
      </c>
      <c r="E26">
        <f t="shared" si="0"/>
        <v>8458.7293299908724</v>
      </c>
      <c r="F26">
        <f t="shared" si="1"/>
        <v>8458.5</v>
      </c>
      <c r="G26">
        <f t="shared" si="2"/>
        <v>0.10062999999354361</v>
      </c>
      <c r="H26">
        <f t="shared" si="3"/>
        <v>0.10062999999354361</v>
      </c>
      <c r="O26">
        <f t="shared" ca="1" si="4"/>
        <v>6.3511726148832923E-2</v>
      </c>
      <c r="Q26" s="2">
        <f t="shared" si="5"/>
        <v>41693.905229999997</v>
      </c>
    </row>
    <row r="27" spans="1:17">
      <c r="A27" s="30" t="s">
        <v>41</v>
      </c>
      <c r="B27" s="31" t="s">
        <v>42</v>
      </c>
      <c r="C27" s="32">
        <v>56725.345970000002</v>
      </c>
      <c r="D27" s="30">
        <v>2.9999999999999997E-4</v>
      </c>
      <c r="E27">
        <f t="shared" si="0"/>
        <v>8488.2205332725625</v>
      </c>
      <c r="F27">
        <f t="shared" si="1"/>
        <v>8488</v>
      </c>
      <c r="G27">
        <f t="shared" si="2"/>
        <v>9.6770000003743917E-2</v>
      </c>
      <c r="H27">
        <f t="shared" si="3"/>
        <v>9.6770000003743917E-2</v>
      </c>
      <c r="O27">
        <f t="shared" ca="1" si="4"/>
        <v>6.3734368532746388E-2</v>
      </c>
      <c r="Q27" s="2">
        <f t="shared" si="5"/>
        <v>41706.845970000002</v>
      </c>
    </row>
    <row r="28" spans="1:17">
      <c r="A28" s="30" t="s">
        <v>41</v>
      </c>
      <c r="B28" s="31" t="s">
        <v>42</v>
      </c>
      <c r="C28" s="32">
        <v>56709.556810000002</v>
      </c>
      <c r="D28" s="30">
        <v>5.0000000000000001E-4</v>
      </c>
      <c r="E28">
        <f t="shared" si="0"/>
        <v>8452.2379443938007</v>
      </c>
      <c r="F28">
        <f t="shared" si="1"/>
        <v>8452</v>
      </c>
      <c r="G28">
        <f t="shared" si="2"/>
        <v>0.10440999999991618</v>
      </c>
      <c r="H28">
        <f t="shared" si="3"/>
        <v>0.10440999999991618</v>
      </c>
      <c r="O28">
        <f t="shared" ca="1" si="4"/>
        <v>6.3462669352377418E-2</v>
      </c>
      <c r="Q28" s="2">
        <f t="shared" si="5"/>
        <v>41691.056810000002</v>
      </c>
    </row>
    <row r="29" spans="1:17">
      <c r="A29" s="30" t="s">
        <v>41</v>
      </c>
      <c r="B29" s="31" t="s">
        <v>42</v>
      </c>
      <c r="C29" s="32">
        <v>56711.527690000003</v>
      </c>
      <c r="D29" s="30">
        <v>2.9999999999999997E-4</v>
      </c>
      <c r="E29">
        <f t="shared" si="0"/>
        <v>8456.72946672744</v>
      </c>
      <c r="F29">
        <f t="shared" si="1"/>
        <v>8456.5</v>
      </c>
      <c r="G29">
        <f t="shared" si="2"/>
        <v>0.10068999999930384</v>
      </c>
      <c r="H29">
        <f t="shared" si="3"/>
        <v>0.10068999999930384</v>
      </c>
      <c r="O29">
        <f t="shared" ca="1" si="4"/>
        <v>6.3496631749923538E-2</v>
      </c>
      <c r="Q29" s="2">
        <f t="shared" si="5"/>
        <v>41693.027690000003</v>
      </c>
    </row>
    <row r="30" spans="1:17">
      <c r="C30" s="8"/>
      <c r="D30" s="8"/>
      <c r="Q30" s="2"/>
    </row>
    <row r="31" spans="1:17">
      <c r="C31" s="8"/>
      <c r="D31" s="8"/>
      <c r="Q31" s="2"/>
    </row>
    <row r="32" spans="1:17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20" sqref="J2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23</v>
      </c>
      <c r="B2" t="s">
        <v>37</v>
      </c>
      <c r="C2" s="3"/>
      <c r="D2" s="3"/>
    </row>
    <row r="3" spans="1:7" ht="13.5" thickBot="1"/>
    <row r="4" spans="1:7" ht="13.5" thickBot="1">
      <c r="A4" s="29" t="s">
        <v>38</v>
      </c>
      <c r="C4" s="27">
        <v>53000.714800000002</v>
      </c>
      <c r="D4" s="28">
        <v>0.43880000000000002</v>
      </c>
    </row>
    <row r="6" spans="1:7">
      <c r="A6" s="5" t="s">
        <v>0</v>
      </c>
    </row>
    <row r="7" spans="1:7">
      <c r="A7" t="s">
        <v>1</v>
      </c>
      <c r="C7">
        <f>+C4</f>
        <v>53000.714800000002</v>
      </c>
    </row>
    <row r="8" spans="1:7">
      <c r="A8" t="s">
        <v>2</v>
      </c>
      <c r="C8">
        <v>0.43869000000000002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14</v>
      </c>
      <c r="B11" s="10"/>
      <c r="C11" s="22">
        <f ca="1">INTERCEPT(INDIRECT($G$11):G992,INDIRECT($F$11):F992)</f>
        <v>17.636583985972628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15</v>
      </c>
      <c r="B12" s="10"/>
      <c r="C12" s="22">
        <f ca="1">SLOPE(INDIRECT($G$11):G992,INDIRECT($F$11):F992)</f>
        <v>-2.0886931118588789E-3</v>
      </c>
      <c r="D12" s="3"/>
      <c r="E12" s="10"/>
    </row>
    <row r="13" spans="1:7">
      <c r="A13" s="10" t="s">
        <v>18</v>
      </c>
      <c r="B13" s="10"/>
      <c r="C13" s="3" t="s">
        <v>12</v>
      </c>
      <c r="D13" s="3"/>
      <c r="E13" s="10"/>
    </row>
    <row r="14" spans="1:7">
      <c r="A14" s="10"/>
      <c r="B14" s="10"/>
      <c r="C14" s="10"/>
      <c r="D14" s="10"/>
      <c r="E14" s="10"/>
    </row>
    <row r="15" spans="1:7">
      <c r="A15" s="12" t="s">
        <v>16</v>
      </c>
      <c r="B15" s="10"/>
      <c r="C15" s="13">
        <f ca="1">(C7+C11)+(C8+C12)*INT(MAX(F21:F3533))</f>
        <v>56725.096479466294</v>
      </c>
      <c r="D15" s="14" t="s">
        <v>32</v>
      </c>
      <c r="E15" s="15">
        <f ca="1">TODAY()+15018.5-B9/24</f>
        <v>60324.5</v>
      </c>
    </row>
    <row r="16" spans="1:7">
      <c r="A16" s="16" t="s">
        <v>3</v>
      </c>
      <c r="B16" s="10"/>
      <c r="C16" s="17">
        <f ca="1">+C8+C12</f>
        <v>0.43660130688814114</v>
      </c>
      <c r="D16" s="14" t="s">
        <v>33</v>
      </c>
      <c r="E16" s="15">
        <f ca="1">ROUND(2*(E15-C15)/C16,0)/2+1</f>
        <v>8245</v>
      </c>
    </row>
    <row r="17" spans="1:17" ht="13.5" thickBot="1">
      <c r="A17" s="14" t="s">
        <v>29</v>
      </c>
      <c r="B17" s="10"/>
      <c r="C17" s="10">
        <f>COUNT(C21:C2191)</f>
        <v>9</v>
      </c>
      <c r="D17" s="14" t="s">
        <v>34</v>
      </c>
      <c r="E17" s="18">
        <f ca="1">+C15+C16*E16-15018.5-C9/24</f>
        <v>45306.770088092351</v>
      </c>
    </row>
    <row r="18" spans="1:17" ht="14.25" thickTop="1" thickBot="1">
      <c r="A18" s="16" t="s">
        <v>4</v>
      </c>
      <c r="B18" s="10"/>
      <c r="C18" s="19">
        <f ca="1">+C15</f>
        <v>56725.096479466294</v>
      </c>
      <c r="D18" s="20">
        <f ca="1">+C16</f>
        <v>0.43660130688814114</v>
      </c>
      <c r="E18" s="21" t="s">
        <v>35</v>
      </c>
    </row>
    <row r="19" spans="1:17" ht="13.5" thickTop="1">
      <c r="A19" s="25" t="s">
        <v>36</v>
      </c>
      <c r="E19" s="26">
        <v>22</v>
      </c>
      <c r="F19">
        <v>40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44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>
      <c r="A21" t="s">
        <v>39</v>
      </c>
      <c r="C21" s="8">
        <v>53000.714800000002</v>
      </c>
      <c r="D21" s="8" t="s">
        <v>12</v>
      </c>
      <c r="E21">
        <f t="shared" ref="E21:E29" si="0">+(C21-C$7)/C$8</f>
        <v>0</v>
      </c>
      <c r="F21" s="33">
        <f>ROUND(2*E21,0)/2-F19</f>
        <v>-40</v>
      </c>
      <c r="G21">
        <f t="shared" ref="G21:G29" si="1">+C21-(C$7+F21*C$8)</f>
        <v>17.547599999998056</v>
      </c>
      <c r="H21">
        <f t="shared" ref="H21:H29" si="2">+G21</f>
        <v>17.547599999998056</v>
      </c>
      <c r="O21">
        <f t="shared" ref="O21:O29" ca="1" si="3">+C$11+C$12*$F21</f>
        <v>17.720131710446982</v>
      </c>
      <c r="Q21" s="2">
        <f t="shared" ref="Q21:Q29" si="4">+C21-15018.5</f>
        <v>37982.214800000002</v>
      </c>
    </row>
    <row r="22" spans="1:17">
      <c r="A22" s="30" t="s">
        <v>41</v>
      </c>
      <c r="B22" s="31" t="s">
        <v>42</v>
      </c>
      <c r="C22" s="32">
        <v>56693.27317</v>
      </c>
      <c r="D22" s="30">
        <v>1.1999999999999999E-3</v>
      </c>
      <c r="E22">
        <f t="shared" si="0"/>
        <v>8417.2385283457534</v>
      </c>
      <c r="F22">
        <f t="shared" ref="F22:F29" si="5">ROUND(2*E22,0)/2</f>
        <v>8417</v>
      </c>
      <c r="G22">
        <f t="shared" si="1"/>
        <v>0.10463999999774387</v>
      </c>
      <c r="H22">
        <f t="shared" si="2"/>
        <v>0.10463999999774387</v>
      </c>
      <c r="O22">
        <f t="shared" ca="1" si="3"/>
        <v>5.6054063456443259E-2</v>
      </c>
      <c r="Q22" s="2">
        <f t="shared" si="4"/>
        <v>41674.77317</v>
      </c>
    </row>
    <row r="23" spans="1:17">
      <c r="A23" s="30" t="s">
        <v>41</v>
      </c>
      <c r="B23" s="31" t="s">
        <v>43</v>
      </c>
      <c r="C23" s="32">
        <v>56693.433449999997</v>
      </c>
      <c r="D23" s="30">
        <v>8.9999999999999998E-4</v>
      </c>
      <c r="E23">
        <f t="shared" si="0"/>
        <v>8417.6038888508865</v>
      </c>
      <c r="F23">
        <f t="shared" si="5"/>
        <v>8417.5</v>
      </c>
      <c r="G23">
        <f t="shared" si="1"/>
        <v>4.5574999996460974E-2</v>
      </c>
      <c r="H23">
        <f t="shared" si="2"/>
        <v>4.5574999996460974E-2</v>
      </c>
      <c r="O23">
        <f t="shared" ca="1" si="3"/>
        <v>5.500971690051415E-2</v>
      </c>
      <c r="Q23" s="2">
        <f t="shared" si="4"/>
        <v>41674.933449999997</v>
      </c>
    </row>
    <row r="24" spans="1:17">
      <c r="A24" s="30" t="s">
        <v>41</v>
      </c>
      <c r="B24" s="31" t="s">
        <v>42</v>
      </c>
      <c r="C24" s="32">
        <v>56716.422879999998</v>
      </c>
      <c r="D24" s="30">
        <v>8.9999999999999998E-4</v>
      </c>
      <c r="E24">
        <f t="shared" si="0"/>
        <v>8470.00861656294</v>
      </c>
      <c r="F24">
        <f t="shared" si="5"/>
        <v>8470</v>
      </c>
      <c r="G24">
        <f t="shared" si="1"/>
        <v>3.7799999990966171E-3</v>
      </c>
      <c r="H24">
        <f t="shared" si="2"/>
        <v>3.7799999990966171E-3</v>
      </c>
      <c r="O24">
        <f t="shared" ca="1" si="3"/>
        <v>-5.4646671472077912E-2</v>
      </c>
      <c r="Q24" s="2">
        <f t="shared" si="4"/>
        <v>41697.922879999998</v>
      </c>
    </row>
    <row r="25" spans="1:17">
      <c r="A25" s="30" t="s">
        <v>41</v>
      </c>
      <c r="B25" s="31" t="s">
        <v>42</v>
      </c>
      <c r="C25" s="32">
        <v>56713.283759999998</v>
      </c>
      <c r="D25" s="30">
        <v>8.0000000000000004E-4</v>
      </c>
      <c r="E25">
        <f t="shared" si="0"/>
        <v>8462.8529485513609</v>
      </c>
      <c r="F25">
        <f t="shared" si="5"/>
        <v>8463</v>
      </c>
      <c r="G25">
        <f t="shared" si="1"/>
        <v>-6.4510000003792811E-2</v>
      </c>
      <c r="H25">
        <f t="shared" si="2"/>
        <v>-6.4510000003792811E-2</v>
      </c>
      <c r="O25">
        <f t="shared" ca="1" si="3"/>
        <v>-4.0025819689063269E-2</v>
      </c>
      <c r="Q25" s="2">
        <f t="shared" si="4"/>
        <v>41694.783759999998</v>
      </c>
    </row>
    <row r="26" spans="1:17">
      <c r="A26" s="30" t="s">
        <v>41</v>
      </c>
      <c r="B26" s="31" t="s">
        <v>42</v>
      </c>
      <c r="C26" s="32">
        <v>56712.405229999997</v>
      </c>
      <c r="D26" s="30">
        <v>2.0000000000000001E-4</v>
      </c>
      <c r="E26">
        <f t="shared" si="0"/>
        <v>8460.8503271102491</v>
      </c>
      <c r="F26">
        <f t="shared" si="5"/>
        <v>8461</v>
      </c>
      <c r="G26">
        <f t="shared" si="1"/>
        <v>-6.5660000007483177E-2</v>
      </c>
      <c r="H26">
        <f t="shared" si="2"/>
        <v>-6.5660000007483177E-2</v>
      </c>
      <c r="O26">
        <f t="shared" ca="1" si="3"/>
        <v>-3.584843346534683E-2</v>
      </c>
      <c r="Q26" s="2">
        <f t="shared" si="4"/>
        <v>41693.905229999997</v>
      </c>
    </row>
    <row r="27" spans="1:17">
      <c r="A27" s="30" t="s">
        <v>41</v>
      </c>
      <c r="B27" s="31" t="s">
        <v>42</v>
      </c>
      <c r="C27" s="32">
        <v>56725.345970000002</v>
      </c>
      <c r="D27" s="30">
        <v>2.9999999999999997E-4</v>
      </c>
      <c r="E27">
        <f t="shared" si="0"/>
        <v>8490.3489252091458</v>
      </c>
      <c r="F27">
        <f t="shared" si="5"/>
        <v>8490.5</v>
      </c>
      <c r="G27">
        <f t="shared" si="1"/>
        <v>-6.6274999997403938E-2</v>
      </c>
      <c r="H27">
        <f t="shared" si="2"/>
        <v>-6.6274999997403938E-2</v>
      </c>
      <c r="O27">
        <f t="shared" ca="1" si="3"/>
        <v>-9.7464880265182074E-2</v>
      </c>
      <c r="Q27" s="2">
        <f t="shared" si="4"/>
        <v>41706.845970000002</v>
      </c>
    </row>
    <row r="28" spans="1:17">
      <c r="A28" s="30" t="s">
        <v>41</v>
      </c>
      <c r="B28" s="31" t="s">
        <v>42</v>
      </c>
      <c r="C28" s="32">
        <v>56709.556810000002</v>
      </c>
      <c r="D28" s="30">
        <v>5.0000000000000001E-4</v>
      </c>
      <c r="E28">
        <f t="shared" si="0"/>
        <v>8454.3573138206939</v>
      </c>
      <c r="F28">
        <f t="shared" si="5"/>
        <v>8454.5</v>
      </c>
      <c r="G28">
        <f t="shared" si="1"/>
        <v>-6.2595000003057066E-2</v>
      </c>
      <c r="H28">
        <f t="shared" si="2"/>
        <v>-6.2595000003057066E-2</v>
      </c>
      <c r="O28">
        <f t="shared" ca="1" si="3"/>
        <v>-2.2271928238264849E-2</v>
      </c>
      <c r="Q28" s="2">
        <f t="shared" si="4"/>
        <v>41691.056810000002</v>
      </c>
    </row>
    <row r="29" spans="1:17">
      <c r="A29" s="30" t="s">
        <v>41</v>
      </c>
      <c r="B29" s="31" t="s">
        <v>42</v>
      </c>
      <c r="C29" s="32">
        <v>56711.527690000003</v>
      </c>
      <c r="D29" s="30">
        <v>2.9999999999999997E-4</v>
      </c>
      <c r="E29">
        <f t="shared" si="0"/>
        <v>8458.8499623880216</v>
      </c>
      <c r="F29">
        <f t="shared" si="5"/>
        <v>8459</v>
      </c>
      <c r="G29">
        <f t="shared" si="1"/>
        <v>-6.5819999996165279E-2</v>
      </c>
      <c r="H29">
        <f t="shared" si="2"/>
        <v>-6.5819999996165279E-2</v>
      </c>
      <c r="O29">
        <f t="shared" ca="1" si="3"/>
        <v>-3.167104724163039E-2</v>
      </c>
      <c r="Q29" s="2">
        <f t="shared" si="4"/>
        <v>41693.027690000003</v>
      </c>
    </row>
    <row r="30" spans="1:17">
      <c r="C30" s="8"/>
      <c r="D30" s="8"/>
      <c r="Q30" s="2"/>
    </row>
    <row r="31" spans="1:17">
      <c r="C31" s="8"/>
      <c r="D31" s="8"/>
      <c r="Q31" s="2"/>
    </row>
    <row r="32" spans="1:17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Graphs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2024-01-15T03:40:47Z</dcterms:modified>
</cp:coreProperties>
</file>