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78627E3-FF85-4943-95AA-984E7A77A6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D9" i="1"/>
  <c r="E21" i="1"/>
  <c r="F21" i="1"/>
  <c r="G21" i="1"/>
  <c r="I21" i="1"/>
  <c r="E9" i="1"/>
  <c r="F16" i="1"/>
  <c r="F17" i="1" s="1"/>
  <c r="C17" i="1"/>
  <c r="Q21" i="1"/>
  <c r="C11" i="1"/>
  <c r="C12" i="1"/>
  <c r="C16" i="1" l="1"/>
  <c r="D18" i="1" s="1"/>
  <c r="C15" i="1"/>
  <c r="O22" i="1"/>
  <c r="O23" i="1"/>
  <c r="O21" i="1"/>
  <c r="C18" i="1" l="1"/>
  <c r="F18" i="1"/>
  <c r="F19" i="1" s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<sst xmlns="http://schemas.openxmlformats.org/spreadsheetml/2006/main" count="64" uniqueCount="53">
  <si>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</si>
  <si>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</si>
  <si>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</si>
  <si>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</si>
  <si>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</si>
  <si>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</si>
  <si>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</si>
  <si>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</si>
  <si>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</si>
  <si>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</si>
  <si>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</si>
  <si>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</si>
  <si>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</si>
  <si>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</si>
  <si>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</si>
  <si>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</si>
  <si>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</si>
  <si>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</si>
  <si>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</si>
  <si>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</si>
  <si>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</si>
  <si>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</si>
  <si>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</si>
  <si>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</si>
  <si>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</si>
  <si>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</si>
  <si>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</si>
  <si>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</si>
  <si>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</si>
  <si>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</si>
  <si>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</si>
  <si>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</si>
  <si>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</si>
  <si>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</si>
  <si>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</si>
  <si>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</si>
  <si>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</si>
  <si>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</si>
  <si>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</si>
  <si>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</si>
  <si>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</si>
  <si>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</si>
  <si>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G1485-0645</t>
  </si>
  <si>
    <t>2019G</t>
  </si>
  <si>
    <t>pr_</t>
  </si>
  <si>
    <t>EW</t>
  </si>
  <si>
    <t>G1485</t>
  </si>
  <si>
    <t>Boo</t>
  </si>
  <si>
    <t>yes</t>
  </si>
  <si>
    <t>GSC 1485-0645</t>
  </si>
  <si>
    <t>VSX</t>
  </si>
  <si>
    <t>IBVS 6244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</si>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</sst>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3" borderId="6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3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1485-0645 -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3286.5</c:v>
                </c:pt>
                <c:pt idx="2">
                  <c:v>3292.5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78-446B-B23B-EDC7EA5674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3286.5</c:v>
                </c:pt>
                <c:pt idx="2">
                  <c:v>3292.5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1.2474998002289794E-3</c:v>
                </c:pt>
                <c:pt idx="2">
                  <c:v>3.897499802405946E-3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78-446B-B23B-EDC7EA5674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3286.5</c:v>
                </c:pt>
                <c:pt idx="2">
                  <c:v>3292.5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78-446B-B23B-EDC7EA5674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3286.5</c:v>
                </c:pt>
                <c:pt idx="2">
                  <c:v>3292.5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78-446B-B23B-EDC7EA5674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3286.5</c:v>
                </c:pt>
                <c:pt idx="2">
                  <c:v>3292.5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78-446B-B23B-EDC7EA5674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3286.5</c:v>
                </c:pt>
                <c:pt idx="2">
                  <c:v>3292.5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78-446B-B23B-EDC7EA5674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3286.5</c:v>
                </c:pt>
                <c:pt idx="2">
                  <c:v>3292.5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78-446B-B23B-EDC7EA5674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3286.5</c:v>
                </c:pt>
                <c:pt idx="2">
                  <c:v>3292.5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-2.4124953940194566E-6</c:v>
                </c:pt>
                <c:pt idx="1">
                  <c:v>2.5713566476971822E-3</c:v>
                </c:pt>
                <c:pt idx="2">
                  <c:v>2.5760554503317622E-3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78-446B-B23B-EDC7EA56742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3286.5</c:v>
                </c:pt>
                <c:pt idx="2">
                  <c:v>3292.5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78-446B-B23B-EDC7EA567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637976"/>
        <c:axId val="1"/>
      </c:scatterChart>
      <c:valAx>
        <c:axId val="505637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637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390525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88665C-C4F9-D765-CF8B-54A73A25E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G28" sqref="G28"/>
    </sheetView>
  </sheetViews>
  <sheetFormatPr defaultColWidth="10.28515625" defaultRowHeight="12.75" x14ac:dyDescent="0.2"/>
  <cols>
    <col min="1" max="1" width="14.42578125" customWidth="1"/>
    <col min="2" max="2" width="4.85546875" style="8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49</v>
      </c>
      <c r="F1" s="36" t="s">
        <v>42</v>
      </c>
      <c r="G1" s="37" t="s">
        <v>43</v>
      </c>
      <c r="H1" s="38"/>
      <c r="I1" s="39" t="s">
        <v>42</v>
      </c>
      <c r="J1" s="36" t="s">
        <v>42</v>
      </c>
      <c r="K1" s="40">
        <v>14.5814</v>
      </c>
      <c r="L1" s="32">
        <v>16.2425</v>
      </c>
      <c r="M1" s="41">
        <v>56782.378940000199</v>
      </c>
      <c r="N1" s="33">
        <v>0.32352500000000001</v>
      </c>
      <c r="O1" s="32" t="s">
        <v>13</v>
      </c>
      <c r="P1" s="32">
        <v>14.44</v>
      </c>
      <c r="Q1" s="32">
        <v>14.69</v>
      </c>
      <c r="R1" s="42" t="s">
        <v>44</v>
      </c>
      <c r="S1" s="43" t="s">
        <v>45</v>
      </c>
      <c r="T1" s="44" t="s">
        <v>46</v>
      </c>
      <c r="U1" s="45">
        <v>9999</v>
      </c>
      <c r="V1" s="31" t="s">
        <v>47</v>
      </c>
      <c r="W1" s="46" t="s">
        <v>48</v>
      </c>
    </row>
    <row r="2" spans="1:23" x14ac:dyDescent="0.2">
      <c r="A2" t="s">
        <v>23</v>
      </c>
      <c r="B2" s="8" t="s">
        <v>13</v>
      </c>
      <c r="C2" s="30"/>
      <c r="D2" s="3" t="s">
        <v>47</v>
      </c>
    </row>
    <row r="3" spans="1:23" ht="13.5" thickBot="1" x14ac:dyDescent="0.25"/>
    <row r="4" spans="1:23" ht="14.25" thickTop="1" thickBot="1" x14ac:dyDescent="0.25">
      <c r="A4" s="5" t="s">
        <v>0</v>
      </c>
      <c r="C4" s="27" t="s">
        <v>37</v>
      </c>
      <c r="D4" s="28" t="s">
        <v>37</v>
      </c>
    </row>
    <row r="5" spans="1:23" ht="13.5" thickTop="1" x14ac:dyDescent="0.2">
      <c r="A5" s="9" t="s">
        <v>28</v>
      </c>
      <c r="B5" s="47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49">
        <v>56782.378940000199</v>
      </c>
      <c r="D7" s="29" t="s">
        <v>50</v>
      </c>
    </row>
    <row r="8" spans="1:23" x14ac:dyDescent="0.2">
      <c r="A8" t="s">
        <v>3</v>
      </c>
      <c r="C8" s="49">
        <v>0.32352500000000001</v>
      </c>
      <c r="D8" s="29" t="s">
        <v>50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47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47"/>
      <c r="C11" s="21">
        <f ca="1">INTERCEPT(INDIRECT($E$9):G992,INDIRECT($D$9):F992)</f>
        <v>-2.4124953940194566E-6</v>
      </c>
      <c r="D11" s="3"/>
      <c r="E11" s="10"/>
    </row>
    <row r="12" spans="1:23" x14ac:dyDescent="0.2">
      <c r="A12" s="10" t="s">
        <v>16</v>
      </c>
      <c r="B12" s="47"/>
      <c r="C12" s="21">
        <f ca="1">SLOPE(INDIRECT($E$9):G992,INDIRECT($D$9):F992)</f>
        <v>7.8313377243000207E-7</v>
      </c>
      <c r="D12" s="3"/>
      <c r="E12" s="10"/>
    </row>
    <row r="13" spans="1:23" x14ac:dyDescent="0.2">
      <c r="A13" s="10" t="s">
        <v>18</v>
      </c>
      <c r="B13" s="47"/>
      <c r="C13" s="3" t="s">
        <v>13</v>
      </c>
    </row>
    <row r="14" spans="1:23" x14ac:dyDescent="0.2">
      <c r="A14" s="10"/>
      <c r="B14" s="47"/>
      <c r="C14" s="10"/>
    </row>
    <row r="15" spans="1:23" x14ac:dyDescent="0.2">
      <c r="A15" s="12" t="s">
        <v>17</v>
      </c>
      <c r="B15" s="47"/>
      <c r="C15" s="13">
        <f ca="1">(C7+C11)+(C8+C12)*INT(MAX(F21:F3533))</f>
        <v>57847.425815664079</v>
      </c>
      <c r="E15" s="14" t="s">
        <v>34</v>
      </c>
      <c r="F15" s="34">
        <v>1</v>
      </c>
    </row>
    <row r="16" spans="1:23" x14ac:dyDescent="0.2">
      <c r="A16" s="16" t="s">
        <v>4</v>
      </c>
      <c r="B16" s="47"/>
      <c r="C16" s="17">
        <f ca="1">+C8+C12</f>
        <v>0.32352578313377245</v>
      </c>
      <c r="E16" s="14" t="s">
        <v>30</v>
      </c>
      <c r="F16" s="35">
        <f ca="1">NOW()+15018.5+$C$5/24</f>
        <v>60324.730377430555</v>
      </c>
    </row>
    <row r="17" spans="1:21" ht="13.5" thickBot="1" x14ac:dyDescent="0.25">
      <c r="A17" s="14" t="s">
        <v>27</v>
      </c>
      <c r="B17" s="47"/>
      <c r="C17" s="10">
        <f>COUNT(C21:C2191)</f>
        <v>3</v>
      </c>
      <c r="E17" s="14" t="s">
        <v>35</v>
      </c>
      <c r="F17" s="15">
        <f ca="1">ROUND(2*(F16-$C$7)/$C$8,0)/2+F15</f>
        <v>10950</v>
      </c>
    </row>
    <row r="18" spans="1:21" ht="14.25" thickTop="1" thickBot="1" x14ac:dyDescent="0.25">
      <c r="A18" s="16" t="s">
        <v>5</v>
      </c>
      <c r="B18" s="47"/>
      <c r="C18" s="19">
        <f ca="1">+C15</f>
        <v>57847.425815664079</v>
      </c>
      <c r="D18" s="20">
        <f ca="1">+C16</f>
        <v>0.32352578313377245</v>
      </c>
      <c r="E18" s="14" t="s">
        <v>36</v>
      </c>
      <c r="F18" s="23">
        <f ca="1">ROUND(2*(F16-$C$15)/$C$16,0)/2+F15</f>
        <v>7658</v>
      </c>
    </row>
    <row r="19" spans="1:21" ht="13.5" thickTop="1" x14ac:dyDescent="0.2">
      <c r="E19" s="14" t="s">
        <v>31</v>
      </c>
      <c r="F19" s="18">
        <f ca="1">+$C$15+$C$16*F18-15018.5-$C$5/24</f>
        <v>45306.882096235844</v>
      </c>
    </row>
    <row r="20" spans="1:21" ht="13.5" thickBot="1" x14ac:dyDescent="0.25">
      <c r="A20" s="4" t="s">
        <v>6</v>
      </c>
      <c r="B20" s="48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50</v>
      </c>
      <c r="C21" s="8">
        <v>56782.378940000199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-2.4124953940194566E-6</v>
      </c>
      <c r="Q21" s="2">
        <f>+C21-15018.5</f>
        <v>41763.878940000199</v>
      </c>
    </row>
    <row r="22" spans="1:21" x14ac:dyDescent="0.2">
      <c r="A22" t="s">
        <v>51</v>
      </c>
      <c r="B22" s="8" t="s">
        <v>52</v>
      </c>
      <c r="C22" s="8">
        <v>57845.645100000002</v>
      </c>
      <c r="D22" s="8">
        <v>8.9999999999999998E-4</v>
      </c>
      <c r="E22">
        <f>+(C22-C$7)/C$8</f>
        <v>3286.5038559610625</v>
      </c>
      <c r="F22">
        <f>ROUND(2*E22,0)/2</f>
        <v>3286.5</v>
      </c>
      <c r="G22">
        <f>+C22-(C$7+F22*C$8)</f>
        <v>1.2474998002289794E-3</v>
      </c>
      <c r="I22">
        <f>+G22</f>
        <v>1.2474998002289794E-3</v>
      </c>
      <c r="O22">
        <f ca="1">+C$11+C$12*$F22</f>
        <v>2.5713566476971822E-3</v>
      </c>
      <c r="Q22" s="2">
        <f>+C22-15018.5</f>
        <v>42827.145100000002</v>
      </c>
    </row>
    <row r="23" spans="1:21" x14ac:dyDescent="0.2">
      <c r="A23" t="s">
        <v>51</v>
      </c>
      <c r="B23" s="8" t="s">
        <v>52</v>
      </c>
      <c r="C23" s="8">
        <v>57847.588900000002</v>
      </c>
      <c r="D23" s="8">
        <v>1E-3</v>
      </c>
      <c r="E23">
        <f>+(C23-C$7)/C$8</f>
        <v>3292.5120469818521</v>
      </c>
      <c r="F23">
        <f>ROUND(2*E23,0)/2</f>
        <v>3292.5</v>
      </c>
      <c r="G23">
        <f>+C23-(C$7+F23*C$8)</f>
        <v>3.897499802405946E-3</v>
      </c>
      <c r="I23">
        <f>+G23</f>
        <v>3.897499802405946E-3</v>
      </c>
      <c r="O23">
        <f ca="1">+C$11+C$12*$F23</f>
        <v>2.5760554503317622E-3</v>
      </c>
      <c r="Q23" s="2">
        <f>+C23-15018.5</f>
        <v>42829.088900000002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2024-01-15T04:31:44Z</dcterms:modified>
</cp:coreProperties>
</file>