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68C535C-21DF-4485-957C-E63CC08E9E1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A (2)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35" i="1" l="1"/>
  <c r="F35" i="1"/>
  <c r="G35" i="1"/>
  <c r="K35" i="1"/>
  <c r="Q35" i="1"/>
  <c r="F29" i="1"/>
  <c r="G29" i="1"/>
  <c r="J29" i="1"/>
  <c r="F32" i="1"/>
  <c r="G32" i="1"/>
  <c r="K32" i="1"/>
  <c r="E32" i="1"/>
  <c r="E33" i="1"/>
  <c r="F33" i="1"/>
  <c r="G33" i="1"/>
  <c r="K33" i="1"/>
  <c r="E34" i="1"/>
  <c r="F34" i="1"/>
  <c r="G34" i="1"/>
  <c r="K34" i="1"/>
  <c r="D9" i="1"/>
  <c r="C9" i="1"/>
  <c r="C21" i="1"/>
  <c r="E21" i="1"/>
  <c r="F21" i="1"/>
  <c r="G21" i="1"/>
  <c r="H21" i="1"/>
  <c r="E24" i="1"/>
  <c r="F24" i="1"/>
  <c r="G24" i="1"/>
  <c r="J24" i="1"/>
  <c r="E25" i="1"/>
  <c r="F25" i="1"/>
  <c r="G25" i="1"/>
  <c r="J25" i="1"/>
  <c r="E26" i="1"/>
  <c r="F26" i="1"/>
  <c r="G26" i="1"/>
  <c r="K26" i="1"/>
  <c r="E27" i="1"/>
  <c r="F27" i="1"/>
  <c r="G27" i="1"/>
  <c r="J27" i="1"/>
  <c r="E28" i="1"/>
  <c r="F28" i="1"/>
  <c r="G28" i="1"/>
  <c r="K28" i="1"/>
  <c r="E29" i="1"/>
  <c r="E30" i="1"/>
  <c r="F30" i="1"/>
  <c r="G30" i="1"/>
  <c r="K30" i="1"/>
  <c r="E31" i="1"/>
  <c r="F31" i="1"/>
  <c r="G31" i="1"/>
  <c r="K31" i="1"/>
  <c r="E22" i="1"/>
  <c r="F22" i="1"/>
  <c r="U22" i="1"/>
  <c r="E23" i="1"/>
  <c r="F23" i="1"/>
  <c r="U23" i="1"/>
  <c r="Q32" i="1"/>
  <c r="Q33" i="1"/>
  <c r="Q34" i="1"/>
  <c r="F26" i="3"/>
  <c r="G26" i="3"/>
  <c r="K26" i="3"/>
  <c r="F24" i="3"/>
  <c r="G24" i="3"/>
  <c r="J24" i="3"/>
  <c r="F11" i="3"/>
  <c r="G11" i="3"/>
  <c r="E14" i="3"/>
  <c r="E15" i="3" s="1"/>
  <c r="C21" i="3"/>
  <c r="Q21" i="3"/>
  <c r="E22" i="3"/>
  <c r="F22" i="3"/>
  <c r="G22" i="3"/>
  <c r="I22" i="3"/>
  <c r="Q22" i="3"/>
  <c r="E23" i="3"/>
  <c r="F23" i="3"/>
  <c r="G23" i="3"/>
  <c r="I23" i="3"/>
  <c r="Q23" i="3"/>
  <c r="E24" i="3"/>
  <c r="Q24" i="3"/>
  <c r="E25" i="3"/>
  <c r="F25" i="3"/>
  <c r="G25" i="3"/>
  <c r="J25" i="3"/>
  <c r="Q25" i="3"/>
  <c r="E26" i="3"/>
  <c r="Q26" i="3"/>
  <c r="E27" i="3"/>
  <c r="F27" i="3"/>
  <c r="G27" i="3"/>
  <c r="J27" i="3"/>
  <c r="Q27" i="3"/>
  <c r="E28" i="3"/>
  <c r="F28" i="3"/>
  <c r="G28" i="3"/>
  <c r="K28" i="3"/>
  <c r="Q28" i="3"/>
  <c r="E29" i="3"/>
  <c r="F29" i="3"/>
  <c r="G29" i="3"/>
  <c r="J29" i="3"/>
  <c r="Q29" i="3"/>
  <c r="E30" i="3"/>
  <c r="F30" i="3"/>
  <c r="G30" i="3"/>
  <c r="K30" i="3"/>
  <c r="Q30" i="3"/>
  <c r="E31" i="3"/>
  <c r="F31" i="3"/>
  <c r="G31" i="3"/>
  <c r="K31" i="3"/>
  <c r="Q31" i="3"/>
  <c r="Q22" i="1"/>
  <c r="Q23" i="1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18" i="2"/>
  <c r="C18" i="2"/>
  <c r="E18" i="2"/>
  <c r="G17" i="2"/>
  <c r="C17" i="2"/>
  <c r="E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18" i="2"/>
  <c r="B18" i="2"/>
  <c r="D18" i="2"/>
  <c r="A18" i="2"/>
  <c r="H17" i="2"/>
  <c r="D17" i="2"/>
  <c r="B17" i="2"/>
  <c r="A17" i="2"/>
  <c r="Q30" i="1"/>
  <c r="Q31" i="1"/>
  <c r="Q24" i="1"/>
  <c r="Q25" i="1"/>
  <c r="Q27" i="1"/>
  <c r="Q29" i="1"/>
  <c r="Q26" i="1"/>
  <c r="Q28" i="1"/>
  <c r="F16" i="1"/>
  <c r="C17" i="1"/>
  <c r="Q21" i="1"/>
  <c r="C17" i="3"/>
  <c r="E21" i="3"/>
  <c r="F21" i="3"/>
  <c r="G21" i="3"/>
  <c r="H21" i="3"/>
  <c r="C12" i="1"/>
  <c r="C11" i="3"/>
  <c r="C12" i="3"/>
  <c r="C11" i="1"/>
  <c r="O32" i="1" l="1"/>
  <c r="O25" i="1"/>
  <c r="C15" i="1"/>
  <c r="F18" i="1" s="1"/>
  <c r="O24" i="1"/>
  <c r="O35" i="1"/>
  <c r="O34" i="1"/>
  <c r="O22" i="1"/>
  <c r="O29" i="1"/>
  <c r="O31" i="1"/>
  <c r="O33" i="1"/>
  <c r="O27" i="1"/>
  <c r="O23" i="1"/>
  <c r="O28" i="1"/>
  <c r="O30" i="1"/>
  <c r="O26" i="1"/>
  <c r="O21" i="1"/>
  <c r="C16" i="3"/>
  <c r="D18" i="3" s="1"/>
  <c r="O23" i="3"/>
  <c r="O26" i="3"/>
  <c r="O25" i="3"/>
  <c r="O28" i="3"/>
  <c r="C15" i="3"/>
  <c r="O24" i="3"/>
  <c r="O27" i="3"/>
  <c r="O30" i="3"/>
  <c r="O29" i="3"/>
  <c r="O31" i="3"/>
  <c r="O22" i="3"/>
  <c r="O21" i="3"/>
  <c r="C16" i="1"/>
  <c r="D18" i="1" s="1"/>
  <c r="F17" i="1"/>
  <c r="C18" i="3" l="1"/>
  <c r="E16" i="3"/>
  <c r="E17" i="3" s="1"/>
  <c r="F19" i="1"/>
  <c r="C18" i="1"/>
</calcChain>
</file>

<file path=xl/sharedStrings.xml><?xml version="1.0" encoding="utf-8"?>
<sst xmlns="http://schemas.openxmlformats.org/spreadsheetml/2006/main" count="234" uniqueCount="102">
  <si>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</si>
  <si>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</si>
  <si>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</si>
  <si>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</si>
  <si>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</si>
  <si>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</si>
  <si>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</si>
  <si>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</si>
  <si>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</si>
  <si>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</si>
  <si>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</si>
  <si>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</si>
  <si>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</si>
  <si>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</si>
  <si>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</si>
  <si>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</si>
  <si>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</si>
  <si>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</si>
  <si>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</si>
  <si>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</si>
  <si>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</si>
  <si>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</si>
  <si>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</si>
  <si>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</si>
  <si>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</si>
  <si>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</si>
  <si>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</si>
  <si>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</si>
  <si>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</si>
  <si>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</si>
  <si>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</si>
  <si>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</si>
  <si>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</si>
  <si>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</si>
  <si>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</si>
  <si>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</si>
  <si>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</si>
  <si>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</si>
  <si>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</si>
  <si>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</si>
  <si>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</si>
  <si>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KW Boo / GSC 2011-0380</t>
  </si>
  <si>
    <t>IBVS 6029</t>
  </si>
  <si>
    <t>II</t>
  </si>
  <si>
    <t>I</t>
  </si>
  <si>
    <t>EW</t>
  </si>
  <si>
    <t>IBVS 6048</t>
  </si>
  <si>
    <t>IBVS 6084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</si>
  <si>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</si>
  <si>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</si>
  <si>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</si>
  <si>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</si>
  <si>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</si>
  <si>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</si>
  <si>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</si>
  <si>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</si>
  <si>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</si>
  <si>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</si>
  <si>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</si>
  <si>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</si>
  <si>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2453551.701 </t>
  </si>
  <si>
    <t> 30.06.2005 04:49 </t>
  </si>
  <si>
    <t> -0.034 </t>
  </si>
  <si>
    <t>C </t>
  </si>
  <si>
    <t>o</t>
  </si>
  <si>
    <t> A.Paschke </t>
  </si>
  <si>
    <t>OEJV 0162 </t>
  </si>
  <si>
    <t>2453770.965 </t>
  </si>
  <si>
    <t> 04.02.2006 11:09 </t>
  </si>
  <si>
    <t> -0.035 </t>
  </si>
  <si>
    <t>2456009.3617 </t>
  </si>
  <si>
    <t> 22.03.2012 20:40 </t>
  </si>
  <si>
    <t> 0.0116 </t>
  </si>
  <si>
    <t>-I</t>
  </si>
  <si>
    <t> F.Agerer </t>
  </si>
  <si>
    <t>BAVM 228 </t>
  </si>
  <si>
    <t>2456009.5321 </t>
  </si>
  <si>
    <t> 23.03.2012 00:46 </t>
  </si>
  <si>
    <t>13288</t>
  </si>
  <si>
    <t> 0.0075 </t>
  </si>
  <si>
    <t>2456013.8938 </t>
  </si>
  <si>
    <t> 27.03.2012 09:27 </t>
  </si>
  <si>
    <t>13300.5</t>
  </si>
  <si>
    <t> 0.0084 </t>
  </si>
  <si>
    <t> R.Diethelm </t>
  </si>
  <si>
    <t>IBVS 6029 </t>
  </si>
  <si>
    <t>2456015.4619 </t>
  </si>
  <si>
    <t> 28.03.2012 23:05 </t>
  </si>
  <si>
    <t>13305</t>
  </si>
  <si>
    <t> 0.0065 </t>
  </si>
  <si>
    <t>2456016.8567 </t>
  </si>
  <si>
    <t> 30.03.2012 08:33 </t>
  </si>
  <si>
    <t>13309</t>
  </si>
  <si>
    <t> 0.0059 </t>
  </si>
  <si>
    <t>2456408.4645 </t>
  </si>
  <si>
    <t> 25.04.2013 23:08 </t>
  </si>
  <si>
    <t>14431.5</t>
  </si>
  <si>
    <t> 0.0071 </t>
  </si>
  <si>
    <t>BAVM 232</t>
  </si>
  <si>
    <t>I do not like this cycle re-adjustment</t>
  </si>
  <si>
    <t>OEJV 0179</t>
  </si>
  <si>
    <t>VSB 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</si>
</sst>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4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3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7" fillId="3" borderId="0" applyNumberFormat="0" applyBorder="0" applyAlignment="0" applyProtection="0"/>
    <xf numFmtId="0" fontId="28" fillId="20" borderId="1" applyNumberFormat="0" applyAlignment="0" applyProtection="0"/>
    <xf numFmtId="0" fontId="29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5" fillId="0" borderId="4" applyNumberFormat="0" applyFill="0" applyAlignment="0" applyProtection="0"/>
    <xf numFmtId="0" fontId="36" fillId="22" borderId="0" applyNumberFormat="0" applyBorder="0" applyAlignment="0" applyProtection="0"/>
    <xf numFmtId="0" fontId="6" fillId="0" borderId="0"/>
    <xf numFmtId="0" fontId="30" fillId="0" borderId="0"/>
    <xf numFmtId="0" fontId="30" fillId="23" borderId="5" applyNumberFormat="0" applyFont="0" applyAlignment="0" applyProtection="0"/>
    <xf numFmtId="0" fontId="37" fillId="20" borderId="6" applyNumberFormat="0" applyAlignment="0" applyProtection="0"/>
    <xf numFmtId="0" fontId="38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9" fillId="0" borderId="0" applyNumberFormat="0" applyFill="0" applyBorder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1" fillId="24" borderId="17" xfId="38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25" borderId="0" xfId="0" applyFont="1" applyFill="1" applyAlignment="1">
      <alignment horizontal="left"/>
    </xf>
    <xf numFmtId="0" fontId="0" fillId="25" borderId="0" xfId="0" applyFill="1" applyAlignment="1">
      <alignment horizontal="center"/>
    </xf>
    <xf numFmtId="0" fontId="0" fillId="25" borderId="0" xfId="0" applyFill="1" applyAlignment="1"/>
    <xf numFmtId="0" fontId="16" fillId="0" borderId="0" xfId="0" applyFont="1">
      <alignment vertical="top"/>
    </xf>
    <xf numFmtId="0" fontId="24" fillId="0" borderId="0" xfId="0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5" fillId="0" borderId="0" xfId="0" applyFont="1" applyAlignment="1"/>
    <xf numFmtId="0" fontId="5" fillId="0" borderId="0" xfId="43" applyFont="1"/>
    <xf numFmtId="0" fontId="5" fillId="0" borderId="0" xfId="43" applyFont="1" applyAlignment="1">
      <alignment horizontal="center"/>
    </xf>
    <xf numFmtId="0" fontId="5" fillId="0" borderId="0" xfId="43" applyFont="1" applyAlignment="1">
      <alignment horizontal="left"/>
    </xf>
    <xf numFmtId="0" fontId="40" fillId="0" borderId="0" xfId="42" applyFont="1"/>
    <xf numFmtId="0" fontId="40" fillId="0" borderId="0" xfId="42" applyFont="1" applyAlignment="1">
      <alignment horizontal="center"/>
    </xf>
    <xf numFmtId="0" fontId="40" fillId="0" borderId="0" xfId="42" applyFont="1" applyAlignment="1">
      <alignment horizontal="left"/>
    </xf>
    <xf numFmtId="0" fontId="0" fillId="0" borderId="0" xfId="0" applyAlignment="1">
      <alignment horizontal="righ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KW Boo - O-C Diagr.</a:t>
            </a:r>
          </a:p>
        </c:rich>
      </c:tx>
      <c:layout>
        <c:manualLayout>
          <c:xMode val="edge"/>
          <c:yMode val="edge"/>
          <c:x val="0.3894297635605006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13287.5</c:v>
                </c:pt>
                <c:pt idx="4">
                  <c:v>13288</c:v>
                </c:pt>
                <c:pt idx="5">
                  <c:v>13300.5</c:v>
                </c:pt>
                <c:pt idx="6">
                  <c:v>13305</c:v>
                </c:pt>
                <c:pt idx="7">
                  <c:v>13309</c:v>
                </c:pt>
                <c:pt idx="8">
                  <c:v>14431.5</c:v>
                </c:pt>
                <c:pt idx="9">
                  <c:v>15317.5</c:v>
                </c:pt>
                <c:pt idx="10">
                  <c:v>15546.5</c:v>
                </c:pt>
                <c:pt idx="11">
                  <c:v>16495.5</c:v>
                </c:pt>
                <c:pt idx="12">
                  <c:v>17581.5</c:v>
                </c:pt>
                <c:pt idx="13">
                  <c:v>17582</c:v>
                </c:pt>
                <c:pt idx="14">
                  <c:v>21843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CF-4298-96D8-ED214B95A9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13287.5</c:v>
                </c:pt>
                <c:pt idx="4">
                  <c:v>13288</c:v>
                </c:pt>
                <c:pt idx="5">
                  <c:v>13300.5</c:v>
                </c:pt>
                <c:pt idx="6">
                  <c:v>13305</c:v>
                </c:pt>
                <c:pt idx="7">
                  <c:v>13309</c:v>
                </c:pt>
                <c:pt idx="8">
                  <c:v>14431.5</c:v>
                </c:pt>
                <c:pt idx="9">
                  <c:v>15317.5</c:v>
                </c:pt>
                <c:pt idx="10">
                  <c:v>15546.5</c:v>
                </c:pt>
                <c:pt idx="11">
                  <c:v>16495.5</c:v>
                </c:pt>
                <c:pt idx="12">
                  <c:v>17581.5</c:v>
                </c:pt>
                <c:pt idx="13">
                  <c:v>17582</c:v>
                </c:pt>
                <c:pt idx="14">
                  <c:v>21843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CF-4298-96D8-ED214B95A9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13287.5</c:v>
                </c:pt>
                <c:pt idx="4">
                  <c:v>13288</c:v>
                </c:pt>
                <c:pt idx="5">
                  <c:v>13300.5</c:v>
                </c:pt>
                <c:pt idx="6">
                  <c:v>13305</c:v>
                </c:pt>
                <c:pt idx="7">
                  <c:v>13309</c:v>
                </c:pt>
                <c:pt idx="8">
                  <c:v>14431.5</c:v>
                </c:pt>
                <c:pt idx="9">
                  <c:v>15317.5</c:v>
                </c:pt>
                <c:pt idx="10">
                  <c:v>15546.5</c:v>
                </c:pt>
                <c:pt idx="11">
                  <c:v>16495.5</c:v>
                </c:pt>
                <c:pt idx="12">
                  <c:v>17581.5</c:v>
                </c:pt>
                <c:pt idx="13">
                  <c:v>17582</c:v>
                </c:pt>
                <c:pt idx="14">
                  <c:v>21843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1.1575000004086178E-2</c:v>
                </c:pt>
                <c:pt idx="4">
                  <c:v>7.5399999986984767E-3</c:v>
                </c:pt>
                <c:pt idx="6">
                  <c:v>6.5500000055180863E-3</c:v>
                </c:pt>
                <c:pt idx="8">
                  <c:v>7.0950000008451752E-3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CF-4298-96D8-ED214B95A9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13287.5</c:v>
                </c:pt>
                <c:pt idx="4">
                  <c:v>13288</c:v>
                </c:pt>
                <c:pt idx="5">
                  <c:v>13300.5</c:v>
                </c:pt>
                <c:pt idx="6">
                  <c:v>13305</c:v>
                </c:pt>
                <c:pt idx="7">
                  <c:v>13309</c:v>
                </c:pt>
                <c:pt idx="8">
                  <c:v>14431.5</c:v>
                </c:pt>
                <c:pt idx="9">
                  <c:v>15317.5</c:v>
                </c:pt>
                <c:pt idx="10">
                  <c:v>15546.5</c:v>
                </c:pt>
                <c:pt idx="11">
                  <c:v>16495.5</c:v>
                </c:pt>
                <c:pt idx="12">
                  <c:v>17581.5</c:v>
                </c:pt>
                <c:pt idx="13">
                  <c:v>17582</c:v>
                </c:pt>
                <c:pt idx="14">
                  <c:v>21843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5">
                  <c:v>8.365000001504086E-3</c:v>
                </c:pt>
                <c:pt idx="7">
                  <c:v>5.8700000008684583E-3</c:v>
                </c:pt>
                <c:pt idx="9">
                  <c:v>4.6050000019022264E-3</c:v>
                </c:pt>
                <c:pt idx="10">
                  <c:v>2.3250000012922101E-3</c:v>
                </c:pt>
                <c:pt idx="11">
                  <c:v>-3.1850000013946556E-3</c:v>
                </c:pt>
                <c:pt idx="12">
                  <c:v>-7.9750000004423782E-3</c:v>
                </c:pt>
                <c:pt idx="13">
                  <c:v>-7.8399999983957969E-3</c:v>
                </c:pt>
                <c:pt idx="14">
                  <c:v>-4.3409999998402782E-2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CF-4298-96D8-ED214B95A9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13287.5</c:v>
                </c:pt>
                <c:pt idx="4">
                  <c:v>13288</c:v>
                </c:pt>
                <c:pt idx="5">
                  <c:v>13300.5</c:v>
                </c:pt>
                <c:pt idx="6">
                  <c:v>13305</c:v>
                </c:pt>
                <c:pt idx="7">
                  <c:v>13309</c:v>
                </c:pt>
                <c:pt idx="8">
                  <c:v>14431.5</c:v>
                </c:pt>
                <c:pt idx="9">
                  <c:v>15317.5</c:v>
                </c:pt>
                <c:pt idx="10">
                  <c:v>15546.5</c:v>
                </c:pt>
                <c:pt idx="11">
                  <c:v>16495.5</c:v>
                </c:pt>
                <c:pt idx="12">
                  <c:v>17581.5</c:v>
                </c:pt>
                <c:pt idx="13">
                  <c:v>17582</c:v>
                </c:pt>
                <c:pt idx="14">
                  <c:v>21843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CF-4298-96D8-ED214B95A9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13287.5</c:v>
                </c:pt>
                <c:pt idx="4">
                  <c:v>13288</c:v>
                </c:pt>
                <c:pt idx="5">
                  <c:v>13300.5</c:v>
                </c:pt>
                <c:pt idx="6">
                  <c:v>13305</c:v>
                </c:pt>
                <c:pt idx="7">
                  <c:v>13309</c:v>
                </c:pt>
                <c:pt idx="8">
                  <c:v>14431.5</c:v>
                </c:pt>
                <c:pt idx="9">
                  <c:v>15317.5</c:v>
                </c:pt>
                <c:pt idx="10">
                  <c:v>15546.5</c:v>
                </c:pt>
                <c:pt idx="11">
                  <c:v>16495.5</c:v>
                </c:pt>
                <c:pt idx="12">
                  <c:v>17581.5</c:v>
                </c:pt>
                <c:pt idx="13">
                  <c:v>17582</c:v>
                </c:pt>
                <c:pt idx="14">
                  <c:v>21843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CF-4298-96D8-ED214B95A9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  <c:pt idx="11">
                    <c:v>4.0000000000000001E-3</c:v>
                  </c:pt>
                  <c:pt idx="12">
                    <c:v>2.9999999999999997E-4</c:v>
                  </c:pt>
                  <c:pt idx="13">
                    <c:v>5.0000000000000001E-4</c:v>
                  </c:pt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13287.5</c:v>
                </c:pt>
                <c:pt idx="4">
                  <c:v>13288</c:v>
                </c:pt>
                <c:pt idx="5">
                  <c:v>13300.5</c:v>
                </c:pt>
                <c:pt idx="6">
                  <c:v>13305</c:v>
                </c:pt>
                <c:pt idx="7">
                  <c:v>13309</c:v>
                </c:pt>
                <c:pt idx="8">
                  <c:v>14431.5</c:v>
                </c:pt>
                <c:pt idx="9">
                  <c:v>15317.5</c:v>
                </c:pt>
                <c:pt idx="10">
                  <c:v>15546.5</c:v>
                </c:pt>
                <c:pt idx="11">
                  <c:v>16495.5</c:v>
                </c:pt>
                <c:pt idx="12">
                  <c:v>17581.5</c:v>
                </c:pt>
                <c:pt idx="13">
                  <c:v>17582</c:v>
                </c:pt>
                <c:pt idx="14">
                  <c:v>21843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CF-4298-96D8-ED214B95A9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13287.5</c:v>
                </c:pt>
                <c:pt idx="4">
                  <c:v>13288</c:v>
                </c:pt>
                <c:pt idx="5">
                  <c:v>13300.5</c:v>
                </c:pt>
                <c:pt idx="6">
                  <c:v>13305</c:v>
                </c:pt>
                <c:pt idx="7">
                  <c:v>13309</c:v>
                </c:pt>
                <c:pt idx="8">
                  <c:v>14431.5</c:v>
                </c:pt>
                <c:pt idx="9">
                  <c:v>15317.5</c:v>
                </c:pt>
                <c:pt idx="10">
                  <c:v>15546.5</c:v>
                </c:pt>
                <c:pt idx="11">
                  <c:v>16495.5</c:v>
                </c:pt>
                <c:pt idx="12">
                  <c:v>17581.5</c:v>
                </c:pt>
                <c:pt idx="13">
                  <c:v>17582</c:v>
                </c:pt>
                <c:pt idx="14">
                  <c:v>21843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8.3025251632410951E-2</c:v>
                </c:pt>
                <c:pt idx="1">
                  <c:v>4.9170341796651307E-2</c:v>
                </c:pt>
                <c:pt idx="2">
                  <c:v>4.5762074804536146E-2</c:v>
                </c:pt>
                <c:pt idx="3">
                  <c:v>1.096901033132873E-2</c:v>
                </c:pt>
                <c:pt idx="4">
                  <c:v>1.0966298901740737E-2</c:v>
                </c:pt>
                <c:pt idx="5">
                  <c:v>1.089851316204074E-2</c:v>
                </c:pt>
                <c:pt idx="6">
                  <c:v>1.0874110295748751E-2</c:v>
                </c:pt>
                <c:pt idx="7">
                  <c:v>1.0852418859044755E-2</c:v>
                </c:pt>
                <c:pt idx="8">
                  <c:v>4.7652594339862575E-3</c:v>
                </c:pt>
                <c:pt idx="9">
                  <c:v>-3.9393795948555743E-5</c:v>
                </c:pt>
                <c:pt idx="10">
                  <c:v>-1.2812285472522528E-3</c:v>
                </c:pt>
                <c:pt idx="11">
                  <c:v>-6.4275219052749716E-3</c:v>
                </c:pt>
                <c:pt idx="12">
                  <c:v>-1.231674697040952E-2</c:v>
                </c:pt>
                <c:pt idx="13">
                  <c:v>-1.2319458399997527E-2</c:v>
                </c:pt>
                <c:pt idx="14">
                  <c:v>-3.5426261348927818E-2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CF-4298-96D8-ED214B95A95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13287.5</c:v>
                </c:pt>
                <c:pt idx="4">
                  <c:v>13288</c:v>
                </c:pt>
                <c:pt idx="5">
                  <c:v>13300.5</c:v>
                </c:pt>
                <c:pt idx="6">
                  <c:v>13305</c:v>
                </c:pt>
                <c:pt idx="7">
                  <c:v>13309</c:v>
                </c:pt>
                <c:pt idx="8">
                  <c:v>14431.5</c:v>
                </c:pt>
                <c:pt idx="9">
                  <c:v>15317.5</c:v>
                </c:pt>
                <c:pt idx="10">
                  <c:v>15546.5</c:v>
                </c:pt>
                <c:pt idx="11">
                  <c:v>16495.5</c:v>
                </c:pt>
                <c:pt idx="12">
                  <c:v>17581.5</c:v>
                </c:pt>
                <c:pt idx="13">
                  <c:v>17582</c:v>
                </c:pt>
                <c:pt idx="14">
                  <c:v>21843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-3.4410000000207219E-2</c:v>
                </c:pt>
                <c:pt idx="2">
                  <c:v>-3.5205000000132713E-2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CF-4298-96D8-ED214B95A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899496"/>
        <c:axId val="1"/>
      </c:scatterChart>
      <c:valAx>
        <c:axId val="677899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899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KW Boo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13288</c:v>
                </c:pt>
                <c:pt idx="4">
                  <c:v>13288.5</c:v>
                </c:pt>
                <c:pt idx="5">
                  <c:v>13301</c:v>
                </c:pt>
                <c:pt idx="6">
                  <c:v>13305.5</c:v>
                </c:pt>
                <c:pt idx="7">
                  <c:v>13309.5</c:v>
                </c:pt>
                <c:pt idx="8">
                  <c:v>14432</c:v>
                </c:pt>
                <c:pt idx="9">
                  <c:v>15318</c:v>
                </c:pt>
                <c:pt idx="10">
                  <c:v>15547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FA-4931-B84A-0D671047FE13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13288</c:v>
                </c:pt>
                <c:pt idx="4">
                  <c:v>13288.5</c:v>
                </c:pt>
                <c:pt idx="5">
                  <c:v>13301</c:v>
                </c:pt>
                <c:pt idx="6">
                  <c:v>13305.5</c:v>
                </c:pt>
                <c:pt idx="7">
                  <c:v>13309.5</c:v>
                </c:pt>
                <c:pt idx="8">
                  <c:v>14432</c:v>
                </c:pt>
                <c:pt idx="9">
                  <c:v>15318</c:v>
                </c:pt>
                <c:pt idx="10">
                  <c:v>15547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1">
                  <c:v>-3.4410000000207219E-2</c:v>
                </c:pt>
                <c:pt idx="2">
                  <c:v>-3.5205000000132713E-2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FA-4931-B84A-0D671047FE13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13288</c:v>
                </c:pt>
                <c:pt idx="4">
                  <c:v>13288.5</c:v>
                </c:pt>
                <c:pt idx="5">
                  <c:v>13301</c:v>
                </c:pt>
                <c:pt idx="6">
                  <c:v>13305.5</c:v>
                </c:pt>
                <c:pt idx="7">
                  <c:v>13309.5</c:v>
                </c:pt>
                <c:pt idx="8">
                  <c:v>14432</c:v>
                </c:pt>
                <c:pt idx="9">
                  <c:v>15318</c:v>
                </c:pt>
                <c:pt idx="10">
                  <c:v>15547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  <c:pt idx="3">
                  <c:v>-0.1628599999967264</c:v>
                </c:pt>
                <c:pt idx="4">
                  <c:v>-0.1668950000021141</c:v>
                </c:pt>
                <c:pt idx="6">
                  <c:v>-0.16788499999529449</c:v>
                </c:pt>
                <c:pt idx="8">
                  <c:v>-0.1673399999999674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FA-4931-B84A-0D671047FE13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13288</c:v>
                </c:pt>
                <c:pt idx="4">
                  <c:v>13288.5</c:v>
                </c:pt>
                <c:pt idx="5">
                  <c:v>13301</c:v>
                </c:pt>
                <c:pt idx="6">
                  <c:v>13305.5</c:v>
                </c:pt>
                <c:pt idx="7">
                  <c:v>13309.5</c:v>
                </c:pt>
                <c:pt idx="8">
                  <c:v>14432</c:v>
                </c:pt>
                <c:pt idx="9">
                  <c:v>15318</c:v>
                </c:pt>
                <c:pt idx="10">
                  <c:v>15547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  <c:pt idx="5">
                  <c:v>-0.16606999999930849</c:v>
                </c:pt>
                <c:pt idx="7">
                  <c:v>-0.16856499999994412</c:v>
                </c:pt>
                <c:pt idx="9">
                  <c:v>-0.16982999999891035</c:v>
                </c:pt>
                <c:pt idx="10">
                  <c:v>-0.17210999999224441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EFA-4931-B84A-0D671047FE13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13288</c:v>
                </c:pt>
                <c:pt idx="4">
                  <c:v>13288.5</c:v>
                </c:pt>
                <c:pt idx="5">
                  <c:v>13301</c:v>
                </c:pt>
                <c:pt idx="6">
                  <c:v>13305.5</c:v>
                </c:pt>
                <c:pt idx="7">
                  <c:v>13309.5</c:v>
                </c:pt>
                <c:pt idx="8">
                  <c:v>14432</c:v>
                </c:pt>
                <c:pt idx="9">
                  <c:v>15318</c:v>
                </c:pt>
                <c:pt idx="10">
                  <c:v>15547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FA-4931-B84A-0D671047FE13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13288</c:v>
                </c:pt>
                <c:pt idx="4">
                  <c:v>13288.5</c:v>
                </c:pt>
                <c:pt idx="5">
                  <c:v>13301</c:v>
                </c:pt>
                <c:pt idx="6">
                  <c:v>13305.5</c:v>
                </c:pt>
                <c:pt idx="7">
                  <c:v>13309.5</c:v>
                </c:pt>
                <c:pt idx="8">
                  <c:v>14432</c:v>
                </c:pt>
                <c:pt idx="9">
                  <c:v>15318</c:v>
                </c:pt>
                <c:pt idx="10">
                  <c:v>15547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EFA-4931-B84A-0D671047FE13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4.7999999999999996E-3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3.0000000000000001E-3</c:v>
                  </c:pt>
                  <c:pt idx="7">
                    <c:v>1.1999999999999999E-3</c:v>
                  </c:pt>
                  <c:pt idx="8">
                    <c:v>5.0000000000000001E-3</c:v>
                  </c:pt>
                  <c:pt idx="9">
                    <c:v>8.0000000000000004E-4</c:v>
                  </c:pt>
                  <c:pt idx="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13288</c:v>
                </c:pt>
                <c:pt idx="4">
                  <c:v>13288.5</c:v>
                </c:pt>
                <c:pt idx="5">
                  <c:v>13301</c:v>
                </c:pt>
                <c:pt idx="6">
                  <c:v>13305.5</c:v>
                </c:pt>
                <c:pt idx="7">
                  <c:v>13309.5</c:v>
                </c:pt>
                <c:pt idx="8">
                  <c:v>14432</c:v>
                </c:pt>
                <c:pt idx="9">
                  <c:v>15318</c:v>
                </c:pt>
                <c:pt idx="10">
                  <c:v>15547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EFA-4931-B84A-0D671047FE13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13288</c:v>
                </c:pt>
                <c:pt idx="4">
                  <c:v>13288.5</c:v>
                </c:pt>
                <c:pt idx="5">
                  <c:v>13301</c:v>
                </c:pt>
                <c:pt idx="6">
                  <c:v>13305.5</c:v>
                </c:pt>
                <c:pt idx="7">
                  <c:v>13309.5</c:v>
                </c:pt>
                <c:pt idx="8">
                  <c:v>14432</c:v>
                </c:pt>
                <c:pt idx="9">
                  <c:v>15318</c:v>
                </c:pt>
                <c:pt idx="10">
                  <c:v>15547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2.483827988285589E-2</c:v>
                </c:pt>
                <c:pt idx="1">
                  <c:v>-5.9351605983896008E-2</c:v>
                </c:pt>
                <c:pt idx="2">
                  <c:v>-6.7827233609597373E-2</c:v>
                </c:pt>
                <c:pt idx="3">
                  <c:v>-0.15435685120754924</c:v>
                </c:pt>
                <c:pt idx="4">
                  <c:v>-0.15436359395029045</c:v>
                </c:pt>
                <c:pt idx="5">
                  <c:v>-0.15453216251882071</c:v>
                </c:pt>
                <c:pt idx="6">
                  <c:v>-0.15459284720349162</c:v>
                </c:pt>
                <c:pt idx="7">
                  <c:v>-0.15464678914542129</c:v>
                </c:pt>
                <c:pt idx="8">
                  <c:v>-0.16978424659943844</c:v>
                </c:pt>
                <c:pt idx="9">
                  <c:v>-0.18173238673686309</c:v>
                </c:pt>
                <c:pt idx="10">
                  <c:v>-0.18482056291233742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EFA-4931-B84A-0D671047FE13}"/>
            </c:ext>
          </c:extLst>
        </c:ser>
        <c:ser>
          <c:idx val="8"/>
          <c:order val="8"/>
          <c:tx>
            <c:strRef>
              <c:f>'A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6243</c:v>
                </c:pt>
                <c:pt idx="2">
                  <c:v>6871.5</c:v>
                </c:pt>
                <c:pt idx="3">
                  <c:v>13288</c:v>
                </c:pt>
                <c:pt idx="4">
                  <c:v>13288.5</c:v>
                </c:pt>
                <c:pt idx="5">
                  <c:v>13301</c:v>
                </c:pt>
                <c:pt idx="6">
                  <c:v>13305.5</c:v>
                </c:pt>
                <c:pt idx="7">
                  <c:v>13309.5</c:v>
                </c:pt>
                <c:pt idx="8">
                  <c:v>14432</c:v>
                </c:pt>
                <c:pt idx="9">
                  <c:v>15318</c:v>
                </c:pt>
                <c:pt idx="10">
                  <c:v>15547</c:v>
                </c:pt>
              </c:numCache>
            </c:numRef>
          </c:xVal>
          <c:yVal>
            <c:numRef>
              <c:f>'A (2)'!$R$21:$R$999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EFA-4931-B84A-0D671047F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944040"/>
        <c:axId val="1"/>
      </c:scatterChart>
      <c:valAx>
        <c:axId val="567944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944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203007518796993"/>
          <c:y val="0.92375366568914952"/>
          <c:w val="0.9263157894736842"/>
          <c:h val="0.982404692082111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31E855E-F314-E728-2051-488FC7B77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07F3126F-6F6E-6027-99CE-58F7C851E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var.astro.cz/oejv/issues/oejv0162.pdf" TargetMode="External"/><Relationship Id="rId7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var.astro.cz/oejv/issues/oejv0162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6029" TargetMode="External"/><Relationship Id="rId5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bav-astro.de/sfs/BAVM_link.php?BAVMnr=228" TargetMode="External"/><Relationship Id="rId9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41</v>
      </c>
    </row>
    <row r="2" spans="1:6">
      <c r="A2" t="s">
        <v>24</v>
      </c>
      <c r="B2" t="s">
        <v>45</v>
      </c>
      <c r="C2" s="3"/>
      <c r="D2" s="3"/>
    </row>
    <row r="3" spans="1:6" ht="13.5" thickBot="1"/>
    <row r="4" spans="1:6" ht="14.25" thickTop="1" thickBot="1">
      <c r="A4" s="5" t="s">
        <v>1</v>
      </c>
      <c r="C4" s="28" t="s">
        <v>39</v>
      </c>
      <c r="D4" s="29" t="s">
        <v>39</v>
      </c>
    </row>
    <row r="5" spans="1:6" ht="13.5" thickTop="1">
      <c r="A5" s="9" t="s">
        <v>29</v>
      </c>
      <c r="B5" s="10"/>
      <c r="C5" s="11">
        <v>-9.5</v>
      </c>
      <c r="D5" s="10" t="s">
        <v>30</v>
      </c>
    </row>
    <row r="6" spans="1:6">
      <c r="A6" s="5" t="s">
        <v>2</v>
      </c>
    </row>
    <row r="7" spans="1:6">
      <c r="A7" t="s">
        <v>3</v>
      </c>
      <c r="C7" s="70">
        <v>51373.74</v>
      </c>
      <c r="D7" s="30" t="s">
        <v>40</v>
      </c>
    </row>
    <row r="8" spans="1:6">
      <c r="A8" t="s">
        <v>4</v>
      </c>
      <c r="C8" s="70">
        <v>0.34887000000000001</v>
      </c>
      <c r="D8" s="30" t="s">
        <v>40</v>
      </c>
    </row>
    <row r="9" spans="1:6">
      <c r="A9" s="25" t="s">
        <v>34</v>
      </c>
      <c r="B9" s="26">
        <v>24</v>
      </c>
      <c r="C9" s="23" t="str">
        <f>"F"&amp;B9</f>
        <v>F24</v>
      </c>
      <c r="D9" s="24" t="str">
        <f>"G"&amp;B9</f>
        <v>G24</v>
      </c>
    </row>
    <row r="10" spans="1:6" ht="13.5" thickBot="1">
      <c r="A10" s="10"/>
      <c r="B10" s="10"/>
      <c r="C10" s="4" t="s">
        <v>20</v>
      </c>
      <c r="D10" s="4" t="s">
        <v>21</v>
      </c>
      <c r="E10" s="10"/>
    </row>
    <row r="11" spans="1:6">
      <c r="A11" s="10" t="s">
        <v>16</v>
      </c>
      <c r="B11" s="10"/>
      <c r="C11" s="22">
        <f ca="1">INTERCEPT(INDIRECT($D$9):G992,INDIRECT($C$9):F992)</f>
        <v>8.3025251632410951E-2</v>
      </c>
      <c r="D11" s="3"/>
      <c r="E11" s="10"/>
    </row>
    <row r="12" spans="1:6">
      <c r="A12" s="10" t="s">
        <v>17</v>
      </c>
      <c r="B12" s="10"/>
      <c r="C12" s="22">
        <f ca="1">SLOPE(INDIRECT($D$9):G992,INDIRECT($C$9):F992)</f>
        <v>-5.422859175998662E-6</v>
      </c>
      <c r="D12" s="3"/>
      <c r="E12" s="10"/>
    </row>
    <row r="13" spans="1:6">
      <c r="A13" s="10" t="s">
        <v>19</v>
      </c>
      <c r="B13" s="10"/>
      <c r="C13" s="3" t="s">
        <v>14</v>
      </c>
    </row>
    <row r="14" spans="1:6">
      <c r="A14" s="10"/>
      <c r="B14" s="10"/>
      <c r="C14" s="10"/>
    </row>
    <row r="15" spans="1:6">
      <c r="A15" s="12" t="s">
        <v>18</v>
      </c>
      <c r="B15" s="10"/>
      <c r="C15" s="13">
        <f ca="1">(C7+C11)+(C8+C12)*INT(MAX(F21:F3533))</f>
        <v>58994.07198373865</v>
      </c>
      <c r="E15" s="14" t="s">
        <v>36</v>
      </c>
      <c r="F15" s="11">
        <v>1</v>
      </c>
    </row>
    <row r="16" spans="1:6">
      <c r="A16" s="16" t="s">
        <v>5</v>
      </c>
      <c r="B16" s="10"/>
      <c r="C16" s="17">
        <f ca="1">+C8+C12</f>
        <v>0.34886457714082403</v>
      </c>
      <c r="E16" s="14" t="s">
        <v>31</v>
      </c>
      <c r="F16" s="15">
        <f ca="1">NOW()+15018.5+$C$5/24</f>
        <v>60324.740880787038</v>
      </c>
    </row>
    <row r="17" spans="1:21" ht="13.5" thickBot="1">
      <c r="A17" s="14" t="s">
        <v>28</v>
      </c>
      <c r="B17" s="10"/>
      <c r="C17" s="10">
        <f>COUNT(C21:C2191)</f>
        <v>15</v>
      </c>
      <c r="E17" s="14" t="s">
        <v>37</v>
      </c>
      <c r="F17" s="15">
        <f ca="1">ROUND(2*(F16-$C$7)/$C$8,0)/2+F15</f>
        <v>25658</v>
      </c>
    </row>
    <row r="18" spans="1:21" ht="14.25" thickTop="1" thickBot="1">
      <c r="A18" s="16" t="s">
        <v>6</v>
      </c>
      <c r="B18" s="10"/>
      <c r="C18" s="19">
        <f ca="1">+C15</f>
        <v>58994.07198373865</v>
      </c>
      <c r="D18" s="20">
        <f ca="1">+C16</f>
        <v>0.34886457714082403</v>
      </c>
      <c r="E18" s="14" t="s">
        <v>38</v>
      </c>
      <c r="F18" s="24">
        <f ca="1">ROUND(2*(F16-$C$15)/$C$16,0)/2+F15</f>
        <v>3815.5</v>
      </c>
    </row>
    <row r="19" spans="1:21" ht="13.5" thickTop="1">
      <c r="E19" s="14" t="s">
        <v>32</v>
      </c>
      <c r="F19" s="18">
        <f ca="1">+$C$15+$C$16*F18-15018.5-$C$5/24</f>
        <v>45307.060611152796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7" t="s">
        <v>35</v>
      </c>
    </row>
    <row r="21" spans="1:21">
      <c r="A21" s="31" t="s">
        <v>40</v>
      </c>
      <c r="B21" s="31"/>
      <c r="C21" s="32">
        <f>C7</f>
        <v>51373.74</v>
      </c>
      <c r="D21" s="32" t="s">
        <v>14</v>
      </c>
      <c r="E21">
        <f t="shared" ref="E21:E31" si="0">+(C21-C$7)/C$8</f>
        <v>0</v>
      </c>
      <c r="F21">
        <f t="shared" ref="F21:F35" si="1">ROUND(2*E21,0)/2</f>
        <v>0</v>
      </c>
      <c r="G21">
        <f>+C21-(C$7+F21*C$8)</f>
        <v>0</v>
      </c>
      <c r="H21">
        <f>+G21</f>
        <v>0</v>
      </c>
      <c r="O21">
        <f t="shared" ref="O21:O31" ca="1" si="2">+C$11+C$12*$F21</f>
        <v>8.3025251632410951E-2</v>
      </c>
      <c r="Q21" s="2">
        <f t="shared" ref="Q21:Q31" si="3">+C21-15018.5</f>
        <v>36355.24</v>
      </c>
    </row>
    <row r="22" spans="1:21">
      <c r="A22" s="53" t="s">
        <v>66</v>
      </c>
      <c r="B22" s="54" t="s">
        <v>44</v>
      </c>
      <c r="C22" s="53">
        <v>53551.701000000001</v>
      </c>
      <c r="D22" s="53" t="s">
        <v>59</v>
      </c>
      <c r="E22">
        <f t="shared" si="0"/>
        <v>6242.9013672714846</v>
      </c>
      <c r="F22">
        <f t="shared" si="1"/>
        <v>6243</v>
      </c>
      <c r="O22">
        <f t="shared" ca="1" si="2"/>
        <v>4.9170341796651307E-2</v>
      </c>
      <c r="Q22" s="2">
        <f t="shared" si="3"/>
        <v>38533.201000000001</v>
      </c>
      <c r="U22">
        <f>+C22-(C$7+F22*C$8)</f>
        <v>-3.4410000000207219E-2</v>
      </c>
    </row>
    <row r="23" spans="1:21">
      <c r="A23" s="53" t="s">
        <v>66</v>
      </c>
      <c r="B23" s="54" t="s">
        <v>43</v>
      </c>
      <c r="C23" s="53">
        <v>53770.964999999997</v>
      </c>
      <c r="D23" s="53" t="s">
        <v>59</v>
      </c>
      <c r="E23">
        <f t="shared" si="0"/>
        <v>6871.3990884856776</v>
      </c>
      <c r="F23">
        <f t="shared" si="1"/>
        <v>6871.5</v>
      </c>
      <c r="O23">
        <f t="shared" ca="1" si="2"/>
        <v>4.5762074804536146E-2</v>
      </c>
      <c r="Q23" s="2">
        <f t="shared" si="3"/>
        <v>38752.464999999997</v>
      </c>
      <c r="U23">
        <f>+C23-(C$7+F23*C$8)</f>
        <v>-3.5205000000132713E-2</v>
      </c>
    </row>
    <row r="24" spans="1:21">
      <c r="A24" s="58" t="s">
        <v>46</v>
      </c>
      <c r="B24" s="33" t="s">
        <v>43</v>
      </c>
      <c r="C24" s="32">
        <v>56009.361700000001</v>
      </c>
      <c r="D24" s="32">
        <v>4.7999999999999996E-3</v>
      </c>
      <c r="E24">
        <f t="shared" si="0"/>
        <v>13287.533178547892</v>
      </c>
      <c r="F24">
        <f t="shared" si="1"/>
        <v>13287.5</v>
      </c>
      <c r="G24">
        <f t="shared" ref="G24:G31" si="4">+C24-(C$7+F24*C$8)</f>
        <v>1.1575000004086178E-2</v>
      </c>
      <c r="J24">
        <f>+G24</f>
        <v>1.1575000004086178E-2</v>
      </c>
      <c r="O24">
        <f t="shared" ca="1" si="2"/>
        <v>1.096901033132873E-2</v>
      </c>
      <c r="Q24" s="2">
        <f t="shared" si="3"/>
        <v>40990.861700000001</v>
      </c>
    </row>
    <row r="25" spans="1:21">
      <c r="A25" s="58" t="s">
        <v>46</v>
      </c>
      <c r="B25" s="33" t="s">
        <v>44</v>
      </c>
      <c r="C25" s="32">
        <v>56009.532099999997</v>
      </c>
      <c r="D25" s="32">
        <v>1.9E-3</v>
      </c>
      <c r="E25">
        <f t="shared" si="0"/>
        <v>13288.021612635075</v>
      </c>
      <c r="F25">
        <f t="shared" si="1"/>
        <v>13288</v>
      </c>
      <c r="G25">
        <f t="shared" si="4"/>
        <v>7.5399999986984767E-3</v>
      </c>
      <c r="J25">
        <f>+G25</f>
        <v>7.5399999986984767E-3</v>
      </c>
      <c r="O25">
        <f t="shared" ca="1" si="2"/>
        <v>1.0966298901740737E-2</v>
      </c>
      <c r="Q25" s="2">
        <f t="shared" si="3"/>
        <v>40991.032099999997</v>
      </c>
    </row>
    <row r="26" spans="1:21">
      <c r="A26" s="32" t="s">
        <v>42</v>
      </c>
      <c r="B26" s="33" t="s">
        <v>43</v>
      </c>
      <c r="C26" s="32">
        <v>56013.893799999998</v>
      </c>
      <c r="D26" s="32">
        <v>5.9999999999999995E-4</v>
      </c>
      <c r="E26">
        <f t="shared" si="0"/>
        <v>13300.523977412789</v>
      </c>
      <c r="F26">
        <f t="shared" si="1"/>
        <v>13300.5</v>
      </c>
      <c r="G26">
        <f t="shared" si="4"/>
        <v>8.365000001504086E-3</v>
      </c>
      <c r="K26">
        <f>+G26</f>
        <v>8.365000001504086E-3</v>
      </c>
      <c r="O26">
        <f t="shared" ca="1" si="2"/>
        <v>1.089851316204074E-2</v>
      </c>
      <c r="Q26" s="2">
        <f t="shared" si="3"/>
        <v>40995.393799999998</v>
      </c>
    </row>
    <row r="27" spans="1:21">
      <c r="A27" s="58" t="s">
        <v>46</v>
      </c>
      <c r="B27" s="33" t="s">
        <v>44</v>
      </c>
      <c r="C27" s="32">
        <v>56015.461900000002</v>
      </c>
      <c r="D27" s="32">
        <v>3.0000000000000001E-3</v>
      </c>
      <c r="E27">
        <f t="shared" si="0"/>
        <v>13305.018774901837</v>
      </c>
      <c r="F27">
        <f t="shared" si="1"/>
        <v>13305</v>
      </c>
      <c r="G27">
        <f t="shared" si="4"/>
        <v>6.5500000055180863E-3</v>
      </c>
      <c r="J27">
        <f>+G27</f>
        <v>6.5500000055180863E-3</v>
      </c>
      <c r="O27">
        <f t="shared" ca="1" si="2"/>
        <v>1.0874110295748751E-2</v>
      </c>
      <c r="Q27" s="2">
        <f t="shared" si="3"/>
        <v>40996.961900000002</v>
      </c>
    </row>
    <row r="28" spans="1:21">
      <c r="A28" s="32" t="s">
        <v>42</v>
      </c>
      <c r="B28" s="33" t="s">
        <v>44</v>
      </c>
      <c r="C28" s="32">
        <v>56016.856699999997</v>
      </c>
      <c r="D28" s="32">
        <v>1.1999999999999999E-3</v>
      </c>
      <c r="E28">
        <f t="shared" si="0"/>
        <v>13309.016825751709</v>
      </c>
      <c r="F28">
        <f t="shared" si="1"/>
        <v>13309</v>
      </c>
      <c r="G28">
        <f t="shared" si="4"/>
        <v>5.8700000008684583E-3</v>
      </c>
      <c r="K28">
        <f>+G28</f>
        <v>5.8700000008684583E-3</v>
      </c>
      <c r="O28">
        <f t="shared" ca="1" si="2"/>
        <v>1.0852418859044755E-2</v>
      </c>
      <c r="Q28" s="2">
        <f t="shared" si="3"/>
        <v>40998.356699999997</v>
      </c>
    </row>
    <row r="29" spans="1:21">
      <c r="A29" s="32" t="s">
        <v>47</v>
      </c>
      <c r="B29" s="33" t="s">
        <v>44</v>
      </c>
      <c r="C29" s="32">
        <v>56408.464500000002</v>
      </c>
      <c r="D29" s="32">
        <v>5.0000000000000001E-3</v>
      </c>
      <c r="E29">
        <f t="shared" si="0"/>
        <v>14431.520337088325</v>
      </c>
      <c r="F29">
        <f t="shared" si="1"/>
        <v>14431.5</v>
      </c>
      <c r="G29">
        <f t="shared" si="4"/>
        <v>7.0950000008451752E-3</v>
      </c>
      <c r="J29">
        <f>+G29</f>
        <v>7.0950000008451752E-3</v>
      </c>
      <c r="O29">
        <f t="shared" ca="1" si="2"/>
        <v>4.7652594339862575E-3</v>
      </c>
      <c r="Q29" s="2">
        <f t="shared" si="3"/>
        <v>41389.964500000002</v>
      </c>
    </row>
    <row r="30" spans="1:21">
      <c r="A30" s="32" t="s">
        <v>48</v>
      </c>
      <c r="B30" s="33" t="s">
        <v>43</v>
      </c>
      <c r="C30" s="59">
        <v>56717.560830000002</v>
      </c>
      <c r="D30" s="32">
        <v>8.0000000000000004E-4</v>
      </c>
      <c r="E30">
        <f t="shared" si="0"/>
        <v>15317.513199759234</v>
      </c>
      <c r="F30">
        <f t="shared" si="1"/>
        <v>15317.5</v>
      </c>
      <c r="G30">
        <f t="shared" si="4"/>
        <v>4.6050000019022264E-3</v>
      </c>
      <c r="K30">
        <f t="shared" ref="K30:K35" si="5">+G30</f>
        <v>4.6050000019022264E-3</v>
      </c>
      <c r="O30">
        <f t="shared" ca="1" si="2"/>
        <v>-3.9393795948555743E-5</v>
      </c>
      <c r="Q30" s="2">
        <f t="shared" si="3"/>
        <v>41699.060830000002</v>
      </c>
    </row>
    <row r="31" spans="1:21">
      <c r="A31" s="32" t="s">
        <v>48</v>
      </c>
      <c r="B31" s="33" t="s">
        <v>43</v>
      </c>
      <c r="C31" s="59">
        <v>56797.449780000003</v>
      </c>
      <c r="D31" s="32">
        <v>5.9999999999999995E-4</v>
      </c>
      <c r="E31">
        <f t="shared" si="0"/>
        <v>15546.506664373561</v>
      </c>
      <c r="F31">
        <f t="shared" si="1"/>
        <v>15546.5</v>
      </c>
      <c r="G31">
        <f t="shared" si="4"/>
        <v>2.3250000012922101E-3</v>
      </c>
      <c r="K31">
        <f t="shared" si="5"/>
        <v>2.3250000012922101E-3</v>
      </c>
      <c r="O31">
        <f t="shared" ca="1" si="2"/>
        <v>-1.2812285472522528E-3</v>
      </c>
      <c r="Q31" s="2">
        <f t="shared" si="3"/>
        <v>41778.949780000003</v>
      </c>
    </row>
    <row r="32" spans="1:21">
      <c r="A32" s="60" t="s">
        <v>0</v>
      </c>
      <c r="B32" s="61" t="s">
        <v>44</v>
      </c>
      <c r="C32" s="62">
        <v>57128.5219</v>
      </c>
      <c r="D32" s="62">
        <v>4.0000000000000001E-3</v>
      </c>
      <c r="E32" s="63">
        <f>+(C32-C$7)/C$8</f>
        <v>16495.490870524842</v>
      </c>
      <c r="F32">
        <f t="shared" si="1"/>
        <v>16495.5</v>
      </c>
      <c r="G32">
        <f>+C32-(C$7+F32*C$8)</f>
        <v>-3.1850000013946556E-3</v>
      </c>
      <c r="K32">
        <f t="shared" si="5"/>
        <v>-3.1850000013946556E-3</v>
      </c>
      <c r="O32">
        <f ca="1">+C$11+C$12*$F32</f>
        <v>-6.4275219052749716E-3</v>
      </c>
      <c r="Q32" s="2">
        <f>+C32-15018.5</f>
        <v>42110.0219</v>
      </c>
    </row>
    <row r="33" spans="1:17">
      <c r="A33" s="64" t="s">
        <v>100</v>
      </c>
      <c r="B33" s="65" t="s">
        <v>43</v>
      </c>
      <c r="C33" s="66">
        <v>57507.389929999998</v>
      </c>
      <c r="D33" s="66">
        <v>2.9999999999999997E-4</v>
      </c>
      <c r="E33" s="63">
        <f>+(C33-C$7)/C$8</f>
        <v>17581.477140482126</v>
      </c>
      <c r="F33">
        <f t="shared" si="1"/>
        <v>17581.5</v>
      </c>
      <c r="G33">
        <f>+C33-(C$7+F33*C$8)</f>
        <v>-7.9750000004423782E-3</v>
      </c>
      <c r="K33">
        <f t="shared" si="5"/>
        <v>-7.9750000004423782E-3</v>
      </c>
      <c r="O33">
        <f ca="1">+C$11+C$12*$F33</f>
        <v>-1.231674697040952E-2</v>
      </c>
      <c r="Q33" s="2">
        <f>+C33-15018.5</f>
        <v>42488.889929999998</v>
      </c>
    </row>
    <row r="34" spans="1:17">
      <c r="A34" s="64" t="s">
        <v>100</v>
      </c>
      <c r="B34" s="65" t="s">
        <v>44</v>
      </c>
      <c r="C34" s="66">
        <v>57507.5645</v>
      </c>
      <c r="D34" s="66">
        <v>5.0000000000000001E-4</v>
      </c>
      <c r="E34" s="63">
        <f>+(C34-C$7)/C$8</f>
        <v>17581.977527445761</v>
      </c>
      <c r="F34">
        <f t="shared" si="1"/>
        <v>17582</v>
      </c>
      <c r="G34">
        <f>+C34-(C$7+F34*C$8)</f>
        <v>-7.8399999983957969E-3</v>
      </c>
      <c r="K34">
        <f t="shared" si="5"/>
        <v>-7.8399999983957969E-3</v>
      </c>
      <c r="O34">
        <f ca="1">+C$11+C$12*$F34</f>
        <v>-1.2319458399997527E-2</v>
      </c>
      <c r="Q34" s="2">
        <f>+C34-15018.5</f>
        <v>42489.0645</v>
      </c>
    </row>
    <row r="35" spans="1:17">
      <c r="A35" s="67" t="s">
        <v>101</v>
      </c>
      <c r="B35" s="68" t="s">
        <v>43</v>
      </c>
      <c r="C35" s="69">
        <v>58994.063999999998</v>
      </c>
      <c r="D35" s="69" t="s">
        <v>58</v>
      </c>
      <c r="E35" s="63">
        <f>+(C35-C$7)/C$8</f>
        <v>21842.875569696451</v>
      </c>
      <c r="F35">
        <f t="shared" si="1"/>
        <v>21843</v>
      </c>
      <c r="G35">
        <f>+C35-(C$7+F35*C$8)</f>
        <v>-4.3409999998402782E-2</v>
      </c>
      <c r="K35">
        <f t="shared" si="5"/>
        <v>-4.3409999998402782E-2</v>
      </c>
      <c r="O35">
        <f ca="1">+C$11+C$12*$F35</f>
        <v>-3.5426261348927818E-2</v>
      </c>
      <c r="Q35" s="2">
        <f>+C35-15018.5</f>
        <v>43975.563999999998</v>
      </c>
    </row>
    <row r="36" spans="1:17">
      <c r="C36" s="8"/>
      <c r="D36" s="8"/>
    </row>
    <row r="37" spans="1:17">
      <c r="C37" s="8"/>
      <c r="D37" s="8"/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5:D35" name="Range1"/>
  </protectedRanges>
  <phoneticPr fontId="8" type="noConversion"/>
  <hyperlinks>
    <hyperlink ref="H2853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selection activeCell="E40" sqref="E4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24</v>
      </c>
      <c r="B2" t="s">
        <v>45</v>
      </c>
      <c r="C2" s="55" t="s">
        <v>99</v>
      </c>
      <c r="D2" s="56"/>
      <c r="E2" s="57"/>
    </row>
    <row r="3" spans="1:7" ht="13.5" thickBot="1"/>
    <row r="4" spans="1:7" ht="14.25" thickTop="1" thickBot="1">
      <c r="A4" s="5" t="s">
        <v>1</v>
      </c>
      <c r="C4" s="28" t="s">
        <v>39</v>
      </c>
      <c r="D4" s="29" t="s">
        <v>39</v>
      </c>
    </row>
    <row r="6" spans="1:7">
      <c r="A6" s="5" t="s">
        <v>2</v>
      </c>
    </row>
    <row r="7" spans="1:7">
      <c r="A7" t="s">
        <v>3</v>
      </c>
      <c r="C7" s="8">
        <v>51373.74</v>
      </c>
      <c r="D7" s="30" t="s">
        <v>40</v>
      </c>
    </row>
    <row r="8" spans="1:7">
      <c r="A8" t="s">
        <v>4</v>
      </c>
      <c r="C8" s="8">
        <v>0.34887000000000001</v>
      </c>
      <c r="D8" s="30" t="s">
        <v>40</v>
      </c>
    </row>
    <row r="9" spans="1:7">
      <c r="A9" s="9" t="s">
        <v>29</v>
      </c>
      <c r="B9" s="10"/>
      <c r="C9" s="11">
        <v>8</v>
      </c>
      <c r="D9" s="10" t="s">
        <v>30</v>
      </c>
      <c r="E9" s="10"/>
    </row>
    <row r="10" spans="1:7" ht="13.5" thickBot="1">
      <c r="A10" s="10"/>
      <c r="B10" s="10"/>
      <c r="C10" s="4" t="s">
        <v>20</v>
      </c>
      <c r="D10" s="4" t="s">
        <v>21</v>
      </c>
      <c r="E10" s="10"/>
    </row>
    <row r="11" spans="1:7">
      <c r="A11" s="10" t="s">
        <v>16</v>
      </c>
      <c r="B11" s="10"/>
      <c r="C11" s="22">
        <f ca="1">INTERCEPT(INDIRECT($G$11):G992,INDIRECT($F$11):F992)</f>
        <v>2.483827988285589E-2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>
      <c r="A12" s="10" t="s">
        <v>17</v>
      </c>
      <c r="B12" s="10"/>
      <c r="C12" s="22">
        <f ca="1">SLOPE(INDIRECT($G$11):G992,INDIRECT($F$11):F992)</f>
        <v>-1.3485485482420616E-5</v>
      </c>
      <c r="D12" s="3"/>
      <c r="E12" s="10"/>
    </row>
    <row r="13" spans="1:7">
      <c r="A13" s="10" t="s">
        <v>19</v>
      </c>
      <c r="B13" s="10"/>
      <c r="C13" s="3" t="s">
        <v>14</v>
      </c>
      <c r="D13" s="14" t="s">
        <v>36</v>
      </c>
      <c r="E13" s="11">
        <v>1</v>
      </c>
    </row>
    <row r="14" spans="1:7">
      <c r="A14" s="10"/>
      <c r="B14" s="10"/>
      <c r="C14" s="10"/>
      <c r="D14" s="14" t="s">
        <v>31</v>
      </c>
      <c r="E14" s="15">
        <f ca="1">NOW()+15018.5+$C$9/24</f>
        <v>60325.470047453709</v>
      </c>
    </row>
    <row r="15" spans="1:7">
      <c r="A15" s="12" t="s">
        <v>18</v>
      </c>
      <c r="B15" s="10"/>
      <c r="C15" s="13">
        <f ca="1">(C7+C11)+(C8+C12)*INT(MAX(F21:F3533))</f>
        <v>56797.437069437088</v>
      </c>
      <c r="D15" s="14" t="s">
        <v>37</v>
      </c>
      <c r="E15" s="15">
        <f ca="1">ROUND(2*(E14-$C$7)/$C$8,0)/2+E13</f>
        <v>25660</v>
      </c>
    </row>
    <row r="16" spans="1:7">
      <c r="A16" s="16" t="s">
        <v>5</v>
      </c>
      <c r="B16" s="10"/>
      <c r="C16" s="17">
        <f ca="1">+C8+C12</f>
        <v>0.3488565145145176</v>
      </c>
      <c r="D16" s="14" t="s">
        <v>38</v>
      </c>
      <c r="E16" s="24">
        <f ca="1">ROUND(2*(E14-$C$15)/$C$16,0)/2+E13</f>
        <v>10114</v>
      </c>
    </row>
    <row r="17" spans="1:18" ht="13.5" thickBot="1">
      <c r="A17" s="14" t="s">
        <v>28</v>
      </c>
      <c r="B17" s="10"/>
      <c r="C17" s="10">
        <f>COUNT(C21:C2191)</f>
        <v>11</v>
      </c>
      <c r="D17" s="14" t="s">
        <v>32</v>
      </c>
      <c r="E17" s="18">
        <f ca="1">+$C$15+$C$16*E16-15018.5-$C$9/24</f>
        <v>45306.938523903584</v>
      </c>
    </row>
    <row r="18" spans="1:18" ht="14.25" thickTop="1" thickBot="1">
      <c r="A18" s="16" t="s">
        <v>6</v>
      </c>
      <c r="B18" s="10"/>
      <c r="C18" s="19">
        <f ca="1">+C15</f>
        <v>56797.437069437088</v>
      </c>
      <c r="D18" s="20">
        <f ca="1">+C16</f>
        <v>0.3488565145145176</v>
      </c>
      <c r="E18" s="21" t="s">
        <v>33</v>
      </c>
    </row>
    <row r="19" spans="1:18" ht="13.5" thickTop="1">
      <c r="A19" s="25" t="s">
        <v>34</v>
      </c>
      <c r="E19" s="26">
        <v>21</v>
      </c>
    </row>
    <row r="20" spans="1:18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56</v>
      </c>
      <c r="I20" s="7" t="s">
        <v>59</v>
      </c>
      <c r="J20" s="7" t="s">
        <v>53</v>
      </c>
      <c r="K20" s="7" t="s">
        <v>51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R20" s="27" t="s">
        <v>35</v>
      </c>
    </row>
    <row r="21" spans="1:18">
      <c r="A21" s="31" t="s">
        <v>40</v>
      </c>
      <c r="B21" s="31"/>
      <c r="C21" s="32">
        <f>C7</f>
        <v>51373.74</v>
      </c>
      <c r="D21" s="32" t="s">
        <v>14</v>
      </c>
      <c r="E21">
        <f t="shared" ref="E21:E31" si="0"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t="shared" ref="O21:O31" ca="1" si="1">+C$11+C$12*$F21</f>
        <v>2.483827988285589E-2</v>
      </c>
      <c r="Q21" s="2">
        <f t="shared" ref="Q21:Q31" si="2">+C21-15018.5</f>
        <v>36355.24</v>
      </c>
    </row>
    <row r="22" spans="1:18">
      <c r="A22" s="53" t="s">
        <v>66</v>
      </c>
      <c r="B22" s="54" t="s">
        <v>44</v>
      </c>
      <c r="C22" s="53">
        <v>53551.701000000001</v>
      </c>
      <c r="D22" s="53" t="s">
        <v>59</v>
      </c>
      <c r="E22">
        <f t="shared" si="0"/>
        <v>6242.9013672714846</v>
      </c>
      <c r="F22">
        <f>ROUND(2*E22,0)/2</f>
        <v>6243</v>
      </c>
      <c r="G22">
        <f>+C22-(C$7+F22*C$8)</f>
        <v>-3.4410000000207219E-2</v>
      </c>
      <c r="I22">
        <f>G22</f>
        <v>-3.4410000000207219E-2</v>
      </c>
      <c r="O22">
        <f t="shared" ca="1" si="1"/>
        <v>-5.9351605983896008E-2</v>
      </c>
      <c r="Q22" s="2">
        <f t="shared" si="2"/>
        <v>38533.201000000001</v>
      </c>
    </row>
    <row r="23" spans="1:18">
      <c r="A23" s="53" t="s">
        <v>66</v>
      </c>
      <c r="B23" s="54" t="s">
        <v>43</v>
      </c>
      <c r="C23" s="53">
        <v>53770.964999999997</v>
      </c>
      <c r="D23" s="53" t="s">
        <v>59</v>
      </c>
      <c r="E23">
        <f t="shared" si="0"/>
        <v>6871.3990884856776</v>
      </c>
      <c r="F23">
        <f>ROUND(2*E23,0)/2</f>
        <v>6871.5</v>
      </c>
      <c r="G23">
        <f>+C23-(C$7+F23*C$8)</f>
        <v>-3.5205000000132713E-2</v>
      </c>
      <c r="I23">
        <f>G23</f>
        <v>-3.5205000000132713E-2</v>
      </c>
      <c r="O23">
        <f t="shared" ca="1" si="1"/>
        <v>-6.7827233609597373E-2</v>
      </c>
      <c r="Q23" s="2">
        <f t="shared" si="2"/>
        <v>38752.464999999997</v>
      </c>
    </row>
    <row r="24" spans="1:18">
      <c r="A24" s="34" t="s">
        <v>46</v>
      </c>
      <c r="B24" s="35" t="s">
        <v>43</v>
      </c>
      <c r="C24" s="36">
        <v>56009.361700000001</v>
      </c>
      <c r="D24" s="36">
        <v>4.7999999999999996E-3</v>
      </c>
      <c r="E24">
        <f t="shared" si="0"/>
        <v>13287.533178547892</v>
      </c>
      <c r="F24">
        <f>ROUND(2*E24,0)/2+0.5</f>
        <v>13288</v>
      </c>
      <c r="G24">
        <f t="shared" ref="G24:G31" si="3">+C24-(C$7+F24*C$8)</f>
        <v>-0.1628599999967264</v>
      </c>
      <c r="J24">
        <f>+G24</f>
        <v>-0.1628599999967264</v>
      </c>
      <c r="O24">
        <f t="shared" ca="1" si="1"/>
        <v>-0.15435685120754924</v>
      </c>
      <c r="Q24" s="2">
        <f t="shared" si="2"/>
        <v>40990.861700000001</v>
      </c>
    </row>
    <row r="25" spans="1:18">
      <c r="A25" s="34" t="s">
        <v>46</v>
      </c>
      <c r="B25" s="35" t="s">
        <v>44</v>
      </c>
      <c r="C25" s="36">
        <v>56009.532099999997</v>
      </c>
      <c r="D25" s="36">
        <v>1.9E-3</v>
      </c>
      <c r="E25">
        <f t="shared" si="0"/>
        <v>13288.021612635075</v>
      </c>
      <c r="F25">
        <f t="shared" ref="F25:F31" si="4">ROUND(2*E25,0)/2+0.5</f>
        <v>13288.5</v>
      </c>
      <c r="G25">
        <f t="shared" si="3"/>
        <v>-0.1668950000021141</v>
      </c>
      <c r="J25">
        <f>+G25</f>
        <v>-0.1668950000021141</v>
      </c>
      <c r="O25">
        <f t="shared" ca="1" si="1"/>
        <v>-0.15436359395029045</v>
      </c>
      <c r="Q25" s="2">
        <f t="shared" si="2"/>
        <v>40991.032099999997</v>
      </c>
    </row>
    <row r="26" spans="1:18">
      <c r="A26" s="32" t="s">
        <v>42</v>
      </c>
      <c r="B26" s="33" t="s">
        <v>43</v>
      </c>
      <c r="C26" s="32">
        <v>56013.893799999998</v>
      </c>
      <c r="D26" s="32">
        <v>5.9999999999999995E-4</v>
      </c>
      <c r="E26">
        <f t="shared" si="0"/>
        <v>13300.523977412789</v>
      </c>
      <c r="F26">
        <f t="shared" si="4"/>
        <v>13301</v>
      </c>
      <c r="G26">
        <f t="shared" si="3"/>
        <v>-0.16606999999930849</v>
      </c>
      <c r="K26">
        <f>+G26</f>
        <v>-0.16606999999930849</v>
      </c>
      <c r="O26">
        <f t="shared" ca="1" si="1"/>
        <v>-0.15453216251882071</v>
      </c>
      <c r="Q26" s="2">
        <f t="shared" si="2"/>
        <v>40995.393799999998</v>
      </c>
    </row>
    <row r="27" spans="1:18">
      <c r="A27" s="34" t="s">
        <v>46</v>
      </c>
      <c r="B27" s="35" t="s">
        <v>44</v>
      </c>
      <c r="C27" s="36">
        <v>56015.461900000002</v>
      </c>
      <c r="D27" s="36">
        <v>3.0000000000000001E-3</v>
      </c>
      <c r="E27">
        <f t="shared" si="0"/>
        <v>13305.018774901837</v>
      </c>
      <c r="F27">
        <f t="shared" si="4"/>
        <v>13305.5</v>
      </c>
      <c r="G27">
        <f t="shared" si="3"/>
        <v>-0.16788499999529449</v>
      </c>
      <c r="J27">
        <f>+G27</f>
        <v>-0.16788499999529449</v>
      </c>
      <c r="O27">
        <f t="shared" ca="1" si="1"/>
        <v>-0.15459284720349162</v>
      </c>
      <c r="Q27" s="2">
        <f t="shared" si="2"/>
        <v>40996.961900000002</v>
      </c>
    </row>
    <row r="28" spans="1:18">
      <c r="A28" s="32" t="s">
        <v>42</v>
      </c>
      <c r="B28" s="33" t="s">
        <v>44</v>
      </c>
      <c r="C28" s="32">
        <v>56016.856699999997</v>
      </c>
      <c r="D28" s="32">
        <v>1.1999999999999999E-3</v>
      </c>
      <c r="E28">
        <f t="shared" si="0"/>
        <v>13309.016825751709</v>
      </c>
      <c r="F28">
        <f t="shared" si="4"/>
        <v>13309.5</v>
      </c>
      <c r="G28">
        <f t="shared" si="3"/>
        <v>-0.16856499999994412</v>
      </c>
      <c r="K28">
        <f>+G28</f>
        <v>-0.16856499999994412</v>
      </c>
      <c r="O28">
        <f t="shared" ca="1" si="1"/>
        <v>-0.15464678914542129</v>
      </c>
      <c r="Q28" s="2">
        <f t="shared" si="2"/>
        <v>40998.356699999997</v>
      </c>
    </row>
    <row r="29" spans="1:18">
      <c r="A29" s="36" t="s">
        <v>47</v>
      </c>
      <c r="B29" s="35" t="s">
        <v>44</v>
      </c>
      <c r="C29" s="36">
        <v>56408.464500000002</v>
      </c>
      <c r="D29" s="36">
        <v>5.0000000000000001E-3</v>
      </c>
      <c r="E29">
        <f t="shared" si="0"/>
        <v>14431.520337088325</v>
      </c>
      <c r="F29">
        <f t="shared" si="4"/>
        <v>14432</v>
      </c>
      <c r="G29">
        <f t="shared" si="3"/>
        <v>-0.1673399999999674</v>
      </c>
      <c r="J29">
        <f>+G29</f>
        <v>-0.1673399999999674</v>
      </c>
      <c r="O29">
        <f t="shared" ca="1" si="1"/>
        <v>-0.16978424659943844</v>
      </c>
      <c r="Q29" s="2">
        <f t="shared" si="2"/>
        <v>41389.964500000002</v>
      </c>
    </row>
    <row r="30" spans="1:18">
      <c r="A30" s="37" t="s">
        <v>48</v>
      </c>
      <c r="B30" s="38" t="s">
        <v>43</v>
      </c>
      <c r="C30" s="39">
        <v>56717.560830000002</v>
      </c>
      <c r="D30" s="37">
        <v>8.0000000000000004E-4</v>
      </c>
      <c r="E30">
        <f t="shared" si="0"/>
        <v>15317.513199759234</v>
      </c>
      <c r="F30">
        <f t="shared" si="4"/>
        <v>15318</v>
      </c>
      <c r="G30">
        <f t="shared" si="3"/>
        <v>-0.16982999999891035</v>
      </c>
      <c r="K30">
        <f>+G30</f>
        <v>-0.16982999999891035</v>
      </c>
      <c r="O30">
        <f t="shared" ca="1" si="1"/>
        <v>-0.18173238673686309</v>
      </c>
      <c r="Q30" s="2">
        <f t="shared" si="2"/>
        <v>41699.060830000002</v>
      </c>
    </row>
    <row r="31" spans="1:18">
      <c r="A31" s="37" t="s">
        <v>48</v>
      </c>
      <c r="B31" s="38" t="s">
        <v>43</v>
      </c>
      <c r="C31" s="39">
        <v>56797.449780000003</v>
      </c>
      <c r="D31" s="37">
        <v>5.9999999999999995E-4</v>
      </c>
      <c r="E31">
        <f t="shared" si="0"/>
        <v>15546.506664373561</v>
      </c>
      <c r="F31">
        <f t="shared" si="4"/>
        <v>15547</v>
      </c>
      <c r="G31">
        <f t="shared" si="3"/>
        <v>-0.17210999999224441</v>
      </c>
      <c r="K31">
        <f>+G31</f>
        <v>-0.17210999999224441</v>
      </c>
      <c r="O31">
        <f t="shared" ca="1" si="1"/>
        <v>-0.18482056291233742</v>
      </c>
      <c r="Q31" s="2">
        <f t="shared" si="2"/>
        <v>41778.949780000003</v>
      </c>
    </row>
    <row r="32" spans="1:18">
      <c r="B32" s="3"/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6"/>
  <sheetViews>
    <sheetView workbookViewId="0">
      <selection activeCell="A17" sqref="A17:D18"/>
    </sheetView>
  </sheetViews>
  <sheetFormatPr defaultRowHeight="12.75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40" t="s">
        <v>49</v>
      </c>
      <c r="I1" s="41" t="s">
        <v>50</v>
      </c>
      <c r="J1" s="42" t="s">
        <v>51</v>
      </c>
    </row>
    <row r="2" spans="1:16">
      <c r="I2" s="43" t="s">
        <v>52</v>
      </c>
      <c r="J2" s="44" t="s">
        <v>53</v>
      </c>
    </row>
    <row r="3" spans="1:16">
      <c r="A3" s="45" t="s">
        <v>54</v>
      </c>
      <c r="I3" s="43" t="s">
        <v>55</v>
      </c>
      <c r="J3" s="44" t="s">
        <v>56</v>
      </c>
    </row>
    <row r="4" spans="1:16">
      <c r="I4" s="43" t="s">
        <v>57</v>
      </c>
      <c r="J4" s="44" t="s">
        <v>56</v>
      </c>
    </row>
    <row r="5" spans="1:16" ht="13.5" thickBot="1">
      <c r="I5" s="46" t="s">
        <v>58</v>
      </c>
      <c r="J5" s="47" t="s">
        <v>59</v>
      </c>
    </row>
    <row r="10" spans="1:16" ht="13.5" thickBot="1"/>
    <row r="11" spans="1:16" ht="12.75" customHeight="1" thickBot="1">
      <c r="A11" s="8" t="str">
        <f t="shared" ref="A11:A18" si="0">P11</f>
        <v>BAVM 228 </v>
      </c>
      <c r="B11" s="3" t="str">
        <f t="shared" ref="B11:B18" si="1">IF(H11=INT(H11),"I","II")</f>
        <v>II</v>
      </c>
      <c r="C11" s="8">
        <f t="shared" ref="C11:C18" si="2">1*G11</f>
        <v>56009.361700000001</v>
      </c>
      <c r="D11" s="10" t="str">
        <f t="shared" ref="D11:D18" si="3">VLOOKUP(F11,I$1:J$5,2,FALSE)</f>
        <v>vis</v>
      </c>
      <c r="E11" s="48">
        <f>VLOOKUP(C11,Active!C$21:E$973,3,FALSE)</f>
        <v>13287.533178547892</v>
      </c>
      <c r="F11" s="3" t="s">
        <v>58</v>
      </c>
      <c r="G11" s="10" t="str">
        <f t="shared" ref="G11:G18" si="4">MID(I11,3,LEN(I11)-3)</f>
        <v>56009.3617</v>
      </c>
      <c r="H11" s="8">
        <f t="shared" ref="H11:H18" si="5">1*K11</f>
        <v>13287.5</v>
      </c>
      <c r="I11" s="49" t="s">
        <v>70</v>
      </c>
      <c r="J11" s="50" t="s">
        <v>71</v>
      </c>
      <c r="K11" s="49">
        <v>13287.5</v>
      </c>
      <c r="L11" s="49" t="s">
        <v>72</v>
      </c>
      <c r="M11" s="50" t="s">
        <v>63</v>
      </c>
      <c r="N11" s="50" t="s">
        <v>73</v>
      </c>
      <c r="O11" s="51" t="s">
        <v>74</v>
      </c>
      <c r="P11" s="52" t="s">
        <v>75</v>
      </c>
    </row>
    <row r="12" spans="1:16" ht="12.75" customHeight="1" thickBot="1">
      <c r="A12" s="8" t="str">
        <f t="shared" si="0"/>
        <v>BAVM 228 </v>
      </c>
      <c r="B12" s="3" t="str">
        <f t="shared" si="1"/>
        <v>I</v>
      </c>
      <c r="C12" s="8">
        <f t="shared" si="2"/>
        <v>56009.532099999997</v>
      </c>
      <c r="D12" s="10" t="str">
        <f t="shared" si="3"/>
        <v>vis</v>
      </c>
      <c r="E12" s="48">
        <f>VLOOKUP(C12,Active!C$21:E$973,3,FALSE)</f>
        <v>13288.021612635075</v>
      </c>
      <c r="F12" s="3" t="s">
        <v>58</v>
      </c>
      <c r="G12" s="10" t="str">
        <f t="shared" si="4"/>
        <v>56009.5321</v>
      </c>
      <c r="H12" s="8">
        <f t="shared" si="5"/>
        <v>13288</v>
      </c>
      <c r="I12" s="49" t="s">
        <v>76</v>
      </c>
      <c r="J12" s="50" t="s">
        <v>77</v>
      </c>
      <c r="K12" s="49" t="s">
        <v>78</v>
      </c>
      <c r="L12" s="49" t="s">
        <v>79</v>
      </c>
      <c r="M12" s="50" t="s">
        <v>63</v>
      </c>
      <c r="N12" s="50" t="s">
        <v>73</v>
      </c>
      <c r="O12" s="51" t="s">
        <v>74</v>
      </c>
      <c r="P12" s="52" t="s">
        <v>75</v>
      </c>
    </row>
    <row r="13" spans="1:16" ht="12.75" customHeight="1" thickBot="1">
      <c r="A13" s="8" t="str">
        <f t="shared" si="0"/>
        <v>IBVS 6029 </v>
      </c>
      <c r="B13" s="3" t="str">
        <f t="shared" si="1"/>
        <v>II</v>
      </c>
      <c r="C13" s="8">
        <f t="shared" si="2"/>
        <v>56013.893799999998</v>
      </c>
      <c r="D13" s="10" t="str">
        <f t="shared" si="3"/>
        <v>vis</v>
      </c>
      <c r="E13" s="48">
        <f>VLOOKUP(C13,Active!C$21:E$973,3,FALSE)</f>
        <v>13300.523977412789</v>
      </c>
      <c r="F13" s="3" t="s">
        <v>58</v>
      </c>
      <c r="G13" s="10" t="str">
        <f t="shared" si="4"/>
        <v>56013.8938</v>
      </c>
      <c r="H13" s="8">
        <f t="shared" si="5"/>
        <v>13300.5</v>
      </c>
      <c r="I13" s="49" t="s">
        <v>80</v>
      </c>
      <c r="J13" s="50" t="s">
        <v>81</v>
      </c>
      <c r="K13" s="49" t="s">
        <v>82</v>
      </c>
      <c r="L13" s="49" t="s">
        <v>83</v>
      </c>
      <c r="M13" s="50" t="s">
        <v>63</v>
      </c>
      <c r="N13" s="50" t="s">
        <v>58</v>
      </c>
      <c r="O13" s="51" t="s">
        <v>84</v>
      </c>
      <c r="P13" s="52" t="s">
        <v>85</v>
      </c>
    </row>
    <row r="14" spans="1:16" ht="12.75" customHeight="1" thickBot="1">
      <c r="A14" s="8" t="str">
        <f t="shared" si="0"/>
        <v>BAVM 228 </v>
      </c>
      <c r="B14" s="3" t="str">
        <f t="shared" si="1"/>
        <v>I</v>
      </c>
      <c r="C14" s="8">
        <f t="shared" si="2"/>
        <v>56015.461900000002</v>
      </c>
      <c r="D14" s="10" t="str">
        <f t="shared" si="3"/>
        <v>vis</v>
      </c>
      <c r="E14" s="48">
        <f>VLOOKUP(C14,Active!C$21:E$973,3,FALSE)</f>
        <v>13305.018774901837</v>
      </c>
      <c r="F14" s="3" t="s">
        <v>58</v>
      </c>
      <c r="G14" s="10" t="str">
        <f t="shared" si="4"/>
        <v>56015.4619</v>
      </c>
      <c r="H14" s="8">
        <f t="shared" si="5"/>
        <v>13305</v>
      </c>
      <c r="I14" s="49" t="s">
        <v>86</v>
      </c>
      <c r="J14" s="50" t="s">
        <v>87</v>
      </c>
      <c r="K14" s="49" t="s">
        <v>88</v>
      </c>
      <c r="L14" s="49" t="s">
        <v>89</v>
      </c>
      <c r="M14" s="50" t="s">
        <v>63</v>
      </c>
      <c r="N14" s="50" t="s">
        <v>73</v>
      </c>
      <c r="O14" s="51" t="s">
        <v>74</v>
      </c>
      <c r="P14" s="52" t="s">
        <v>75</v>
      </c>
    </row>
    <row r="15" spans="1:16" ht="12.75" customHeight="1" thickBot="1">
      <c r="A15" s="8" t="str">
        <f t="shared" si="0"/>
        <v>IBVS 6029 </v>
      </c>
      <c r="B15" s="3" t="str">
        <f t="shared" si="1"/>
        <v>I</v>
      </c>
      <c r="C15" s="8">
        <f t="shared" si="2"/>
        <v>56016.856699999997</v>
      </c>
      <c r="D15" s="10" t="str">
        <f t="shared" si="3"/>
        <v>vis</v>
      </c>
      <c r="E15" s="48">
        <f>VLOOKUP(C15,Active!C$21:E$973,3,FALSE)</f>
        <v>13309.016825751709</v>
      </c>
      <c r="F15" s="3" t="s">
        <v>58</v>
      </c>
      <c r="G15" s="10" t="str">
        <f t="shared" si="4"/>
        <v>56016.8567</v>
      </c>
      <c r="H15" s="8">
        <f t="shared" si="5"/>
        <v>13309</v>
      </c>
      <c r="I15" s="49" t="s">
        <v>90</v>
      </c>
      <c r="J15" s="50" t="s">
        <v>91</v>
      </c>
      <c r="K15" s="49" t="s">
        <v>92</v>
      </c>
      <c r="L15" s="49" t="s">
        <v>93</v>
      </c>
      <c r="M15" s="50" t="s">
        <v>63</v>
      </c>
      <c r="N15" s="50" t="s">
        <v>58</v>
      </c>
      <c r="O15" s="51" t="s">
        <v>84</v>
      </c>
      <c r="P15" s="52" t="s">
        <v>85</v>
      </c>
    </row>
    <row r="16" spans="1:16" ht="12.75" customHeight="1" thickBot="1">
      <c r="A16" s="8" t="str">
        <f t="shared" si="0"/>
        <v>BAVM 232</v>
      </c>
      <c r="B16" s="3" t="str">
        <f t="shared" si="1"/>
        <v>II</v>
      </c>
      <c r="C16" s="8">
        <f t="shared" si="2"/>
        <v>56408.464500000002</v>
      </c>
      <c r="D16" s="10" t="str">
        <f t="shared" si="3"/>
        <v>vis</v>
      </c>
      <c r="E16" s="48">
        <f>VLOOKUP(C16,Active!C$21:E$973,3,FALSE)</f>
        <v>14431.520337088325</v>
      </c>
      <c r="F16" s="3" t="s">
        <v>58</v>
      </c>
      <c r="G16" s="10" t="str">
        <f t="shared" si="4"/>
        <v>56408.4645</v>
      </c>
      <c r="H16" s="8">
        <f t="shared" si="5"/>
        <v>14431.5</v>
      </c>
      <c r="I16" s="49" t="s">
        <v>94</v>
      </c>
      <c r="J16" s="50" t="s">
        <v>95</v>
      </c>
      <c r="K16" s="49" t="s">
        <v>96</v>
      </c>
      <c r="L16" s="49" t="s">
        <v>97</v>
      </c>
      <c r="M16" s="50" t="s">
        <v>63</v>
      </c>
      <c r="N16" s="50" t="s">
        <v>73</v>
      </c>
      <c r="O16" s="51" t="s">
        <v>74</v>
      </c>
      <c r="P16" s="52" t="s">
        <v>98</v>
      </c>
    </row>
    <row r="17" spans="1:16" ht="12.75" customHeight="1" thickBot="1">
      <c r="A17" s="8" t="str">
        <f t="shared" si="0"/>
        <v>OEJV 0162 </v>
      </c>
      <c r="B17" s="3" t="str">
        <f t="shared" si="1"/>
        <v>I</v>
      </c>
      <c r="C17" s="8">
        <f t="shared" si="2"/>
        <v>53551.701000000001</v>
      </c>
      <c r="D17" s="10" t="str">
        <f t="shared" si="3"/>
        <v>vis</v>
      </c>
      <c r="E17" s="48">
        <f>VLOOKUP(C17,Active!C$21:E$973,3,FALSE)</f>
        <v>6242.9013672714846</v>
      </c>
      <c r="F17" s="3" t="s">
        <v>58</v>
      </c>
      <c r="G17" s="10" t="str">
        <f t="shared" si="4"/>
        <v>53551.701</v>
      </c>
      <c r="H17" s="8">
        <f t="shared" si="5"/>
        <v>6243</v>
      </c>
      <c r="I17" s="49" t="s">
        <v>60</v>
      </c>
      <c r="J17" s="50" t="s">
        <v>61</v>
      </c>
      <c r="K17" s="49">
        <v>6243</v>
      </c>
      <c r="L17" s="49" t="s">
        <v>62</v>
      </c>
      <c r="M17" s="50" t="s">
        <v>63</v>
      </c>
      <c r="N17" s="50" t="s">
        <v>64</v>
      </c>
      <c r="O17" s="51" t="s">
        <v>65</v>
      </c>
      <c r="P17" s="52" t="s">
        <v>66</v>
      </c>
    </row>
    <row r="18" spans="1:16" ht="12.75" customHeight="1" thickBot="1">
      <c r="A18" s="8" t="str">
        <f t="shared" si="0"/>
        <v>OEJV 0162 </v>
      </c>
      <c r="B18" s="3" t="str">
        <f t="shared" si="1"/>
        <v>II</v>
      </c>
      <c r="C18" s="8">
        <f t="shared" si="2"/>
        <v>53770.964999999997</v>
      </c>
      <c r="D18" s="10" t="str">
        <f t="shared" si="3"/>
        <v>vis</v>
      </c>
      <c r="E18" s="48">
        <f>VLOOKUP(C18,Active!C$21:E$973,3,FALSE)</f>
        <v>6871.3990884856776</v>
      </c>
      <c r="F18" s="3" t="s">
        <v>58</v>
      </c>
      <c r="G18" s="10" t="str">
        <f t="shared" si="4"/>
        <v>53770.965</v>
      </c>
      <c r="H18" s="8">
        <f t="shared" si="5"/>
        <v>6871.5</v>
      </c>
      <c r="I18" s="49" t="s">
        <v>67</v>
      </c>
      <c r="J18" s="50" t="s">
        <v>68</v>
      </c>
      <c r="K18" s="49">
        <v>6871.5</v>
      </c>
      <c r="L18" s="49" t="s">
        <v>69</v>
      </c>
      <c r="M18" s="50" t="s">
        <v>63</v>
      </c>
      <c r="N18" s="50" t="s">
        <v>64</v>
      </c>
      <c r="O18" s="51" t="s">
        <v>65</v>
      </c>
      <c r="P18" s="52" t="s">
        <v>66</v>
      </c>
    </row>
    <row r="19" spans="1:16">
      <c r="B19" s="3"/>
      <c r="F19" s="3"/>
    </row>
    <row r="20" spans="1:16">
      <c r="B20" s="3"/>
      <c r="F20" s="3"/>
    </row>
    <row r="21" spans="1:16">
      <c r="B21" s="3"/>
      <c r="F21" s="3"/>
    </row>
    <row r="22" spans="1:16">
      <c r="B22" s="3"/>
      <c r="F22" s="3"/>
    </row>
    <row r="23" spans="1:16">
      <c r="B23" s="3"/>
      <c r="F23" s="3"/>
    </row>
    <row r="24" spans="1:16">
      <c r="B24" s="3"/>
      <c r="F24" s="3"/>
    </row>
    <row r="25" spans="1:16">
      <c r="B25" s="3"/>
      <c r="F25" s="3"/>
    </row>
    <row r="26" spans="1:16">
      <c r="B26" s="3"/>
      <c r="F26" s="3"/>
    </row>
    <row r="27" spans="1:16">
      <c r="B27" s="3"/>
      <c r="F27" s="3"/>
    </row>
    <row r="28" spans="1:16">
      <c r="B28" s="3"/>
      <c r="F28" s="3"/>
    </row>
    <row r="29" spans="1:16">
      <c r="B29" s="3"/>
      <c r="F29" s="3"/>
    </row>
    <row r="30" spans="1:16">
      <c r="B30" s="3"/>
      <c r="F30" s="3"/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</sheetData>
  <phoneticPr fontId="8" type="noConversion"/>
  <hyperlinks>
    <hyperlink ref="A3" r:id="rId1"/>
    <hyperlink ref="P17" r:id="rId2" display="http://var.astro.cz/oejv/issues/oejv0162.pdf"/>
    <hyperlink ref="P18" r:id="rId3" display="http://var.astro.cz/oejv/issues/oejv0162.pdf"/>
    <hyperlink ref="P11" r:id="rId4" display="http://www.bav-astro.de/sfs/BAVM_link.php?BAVMnr=228"/>
    <hyperlink ref="P12" r:id="rId5" display="http://www.bav-astro.de/sfs/BAVM_link.php?BAVMnr=228"/>
    <hyperlink ref="P13" r:id="rId6" display="http://www.konkoly.hu/cgi-bin/IBVS?6029"/>
    <hyperlink ref="P14" r:id="rId7" display="http://www.bav-astro.de/sfs/BAVM_link.php?BAVMnr=228"/>
    <hyperlink ref="P15" r:id="rId8" display="http://www.konkoly.hu/cgi-bin/IBVS?6029"/>
    <hyperlink ref="P16" r:id="rId9" display="http://www.bav-astro.de/sfs/BAVM_link.php?BAVMnr=23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2024-01-15T04:46:52Z</dcterms:modified>
</cp:coreProperties>
</file>