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4D6A6ED-B6C0-46ED-A6B9-E2C99DC606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E25" i="1"/>
  <c r="F25" i="1"/>
  <c r="G25" i="1"/>
  <c r="K25" i="1"/>
  <c r="D9" i="1"/>
  <c r="C9" i="1"/>
  <c r="E22" i="1"/>
  <c r="F22" i="1"/>
  <c r="G22" i="1"/>
  <c r="K22" i="1"/>
  <c r="E23" i="1"/>
  <c r="F23" i="1"/>
  <c r="G23" i="1"/>
  <c r="K23" i="1"/>
  <c r="Q24" i="1"/>
  <c r="Q25" i="1"/>
  <c r="C21" i="1"/>
  <c r="Q22" i="1"/>
  <c r="Q23" i="1"/>
  <c r="F16" i="1"/>
  <c r="C17" i="1"/>
  <c r="Q21" i="1"/>
  <c r="E21" i="1"/>
  <c r="F21" i="1"/>
  <c r="G21" i="1"/>
  <c r="I21" i="1"/>
  <c r="C12" i="1"/>
  <c r="C11" i="1"/>
  <c r="O24" i="1" l="1"/>
  <c r="O22" i="1"/>
  <c r="C15" i="1"/>
  <c r="F18" i="1" s="1"/>
  <c r="O23" i="1"/>
  <c r="O21" i="1"/>
  <c r="O25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<sst xmlns="http://schemas.openxmlformats.org/spreadsheetml/2006/main" count="61" uniqueCount="51">
  <si>
    <t>PE</t>
  </si>
  <si>
    <t>I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</si>
  <si>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</si>
  <si>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</si>
  <si>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</si>
  <si>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</si>
  <si>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</si>
  <si>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</si>
  <si>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</si>
  <si>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</si>
  <si>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</si>
  <si>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</si>
  <si>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</si>
  <si>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</si>
  <si>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</si>
  <si>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</si>
  <si>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</si>
  <si>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</si>
  <si>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</si>
  <si>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</si>
  <si>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</si>
  <si>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</si>
  <si>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</si>
  <si>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</si>
  <si>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</si>
  <si>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</si>
  <si>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</si>
  <si>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</si>
  <si>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</si>
  <si>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</si>
  <si>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</si>
  <si>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</si>
  <si>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</si>
  <si>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</si>
  <si>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</si>
  <si>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</si>
  <si>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</si>
  <si>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</si>
  <si>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</si>
  <si>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</si>
  <si>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</si>
  <si>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</si>
  <si>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</si>
  <si>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</si>
  <si>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</si>
  <si>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KZ Boo / GSC 3860-0159</t>
  </si>
  <si>
    <t>IBVS 6029</t>
  </si>
  <si>
    <t>II:</t>
  </si>
  <si>
    <t>I: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</si>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</sst>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KZ Boo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13060.5</c:v>
                </c:pt>
                <c:pt idx="2">
                  <c:v>13261</c:v>
                </c:pt>
                <c:pt idx="3">
                  <c:v>16142.5</c:v>
                </c:pt>
                <c:pt idx="4">
                  <c:v>16199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62-4D10-8159-442B3FAF7A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13060.5</c:v>
                </c:pt>
                <c:pt idx="2">
                  <c:v>13261</c:v>
                </c:pt>
                <c:pt idx="3">
                  <c:v>16142.5</c:v>
                </c:pt>
                <c:pt idx="4">
                  <c:v>16199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62-4D10-8159-442B3FAF7A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13060.5</c:v>
                </c:pt>
                <c:pt idx="2">
                  <c:v>13261</c:v>
                </c:pt>
                <c:pt idx="3">
                  <c:v>16142.5</c:v>
                </c:pt>
                <c:pt idx="4">
                  <c:v>16199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62-4D10-8159-442B3FAF7A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13060.5</c:v>
                </c:pt>
                <c:pt idx="2">
                  <c:v>13261</c:v>
                </c:pt>
                <c:pt idx="3">
                  <c:v>16142.5</c:v>
                </c:pt>
                <c:pt idx="4">
                  <c:v>16199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-2.1457499999087304E-2</c:v>
                </c:pt>
                <c:pt idx="2">
                  <c:v>-1.931499999773223E-2</c:v>
                </c:pt>
                <c:pt idx="3">
                  <c:v>-1.9917500001611188E-2</c:v>
                </c:pt>
                <c:pt idx="4">
                  <c:v>-1.8994999998540152E-2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62-4D10-8159-442B3FAF7A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13060.5</c:v>
                </c:pt>
                <c:pt idx="2">
                  <c:v>13261</c:v>
                </c:pt>
                <c:pt idx="3">
                  <c:v>16142.5</c:v>
                </c:pt>
                <c:pt idx="4">
                  <c:v>16199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62-4D10-8159-442B3FAF7A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13060.5</c:v>
                </c:pt>
                <c:pt idx="2">
                  <c:v>13261</c:v>
                </c:pt>
                <c:pt idx="3">
                  <c:v>16142.5</c:v>
                </c:pt>
                <c:pt idx="4">
                  <c:v>16199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62-4D10-8159-442B3FAF7A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13060.5</c:v>
                </c:pt>
                <c:pt idx="2">
                  <c:v>13261</c:v>
                </c:pt>
                <c:pt idx="3">
                  <c:v>16142.5</c:v>
                </c:pt>
                <c:pt idx="4">
                  <c:v>16199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62-4D10-8159-442B3FAF7A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13060.5</c:v>
                </c:pt>
                <c:pt idx="2">
                  <c:v>13261</c:v>
                </c:pt>
                <c:pt idx="3">
                  <c:v>16142.5</c:v>
                </c:pt>
                <c:pt idx="4">
                  <c:v>16199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-2.4830633954609771E-2</c:v>
                </c:pt>
                <c:pt idx="1">
                  <c:v>-2.0458610079317242E-2</c:v>
                </c:pt>
                <c:pt idx="2">
                  <c:v>-2.0391492374252647E-2</c:v>
                </c:pt>
                <c:pt idx="3">
                  <c:v>-1.9426905505705853E-2</c:v>
                </c:pt>
                <c:pt idx="4">
                  <c:v>-1.9407992037695131E-2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62-4D10-8159-442B3FAF7AF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13060.5</c:v>
                </c:pt>
                <c:pt idx="2">
                  <c:v>13261</c:v>
                </c:pt>
                <c:pt idx="3">
                  <c:v>16142.5</c:v>
                </c:pt>
                <c:pt idx="4">
                  <c:v>16199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62-4D10-8159-442B3FAF7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898056"/>
        <c:axId val="1"/>
      </c:scatterChart>
      <c:valAx>
        <c:axId val="677898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898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390525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4F95AC-B9F1-7A96-891D-42FE3EA77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45</v>
      </c>
    </row>
    <row r="2" spans="1:6" x14ac:dyDescent="0.2">
      <c r="A2" t="s">
        <v>28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5</v>
      </c>
      <c r="C4" s="27" t="s">
        <v>42</v>
      </c>
      <c r="D4" s="28" t="s">
        <v>42</v>
      </c>
    </row>
    <row r="5" spans="1:6" ht="13.5" thickTop="1" x14ac:dyDescent="0.2">
      <c r="A5" s="9" t="s">
        <v>33</v>
      </c>
      <c r="B5" s="10"/>
      <c r="C5" s="11">
        <v>-9.5</v>
      </c>
      <c r="D5" s="10" t="s">
        <v>34</v>
      </c>
    </row>
    <row r="6" spans="1:6" x14ac:dyDescent="0.2">
      <c r="A6" s="5" t="s">
        <v>6</v>
      </c>
    </row>
    <row r="7" spans="1:6" x14ac:dyDescent="0.2">
      <c r="A7" t="s">
        <v>7</v>
      </c>
      <c r="C7" s="35">
        <v>51397.800999999999</v>
      </c>
      <c r="D7" s="29" t="s">
        <v>43</v>
      </c>
    </row>
    <row r="8" spans="1:6" x14ac:dyDescent="0.2">
      <c r="A8" t="s">
        <v>8</v>
      </c>
      <c r="C8" s="35">
        <v>0.35351500000000002</v>
      </c>
      <c r="D8" s="29" t="s">
        <v>43</v>
      </c>
    </row>
    <row r="9" spans="1:6" x14ac:dyDescent="0.2">
      <c r="A9" s="24" t="s">
        <v>37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20</v>
      </c>
      <c r="B11" s="10"/>
      <c r="C11" s="21">
        <f ca="1">INTERCEPT(INDIRECT($D$9):G992,INDIRECT($C$9):F992)</f>
        <v>-2.4830633954609771E-2</v>
      </c>
      <c r="D11" s="3"/>
      <c r="E11" s="10"/>
    </row>
    <row r="12" spans="1:6" x14ac:dyDescent="0.2">
      <c r="A12" s="10" t="s">
        <v>21</v>
      </c>
      <c r="B12" s="10"/>
      <c r="C12" s="21">
        <f ca="1">SLOPE(INDIRECT($D$9):G992,INDIRECT($C$9):F992)</f>
        <v>3.347516462074597E-7</v>
      </c>
      <c r="D12" s="3"/>
      <c r="E12" s="10"/>
    </row>
    <row r="13" spans="1:6" x14ac:dyDescent="0.2">
      <c r="A13" s="10" t="s">
        <v>23</v>
      </c>
      <c r="B13" s="10"/>
      <c r="C13" s="3" t="s">
        <v>18</v>
      </c>
    </row>
    <row r="14" spans="1:6" x14ac:dyDescent="0.2">
      <c r="A14" s="10"/>
      <c r="B14" s="10"/>
      <c r="C14" s="10"/>
    </row>
    <row r="15" spans="1:6" x14ac:dyDescent="0.2">
      <c r="A15" s="12" t="s">
        <v>22</v>
      </c>
      <c r="B15" s="10"/>
      <c r="C15" s="13">
        <f ca="1">(C7+C11)+(C8+C12)*INT(MAX(F21:F3533))</f>
        <v>57124.371077007963</v>
      </c>
      <c r="E15" s="14" t="s">
        <v>39</v>
      </c>
      <c r="F15" s="11">
        <v>1</v>
      </c>
    </row>
    <row r="16" spans="1:6" x14ac:dyDescent="0.2">
      <c r="A16" s="16" t="s">
        <v>9</v>
      </c>
      <c r="B16" s="10"/>
      <c r="C16" s="17">
        <f ca="1">+C8+C12</f>
        <v>0.3535153347516462</v>
      </c>
      <c r="E16" s="14" t="s">
        <v>35</v>
      </c>
      <c r="F16" s="15">
        <f ca="1">NOW()+15018.5+$C$5/24</f>
        <v>60324.741395254627</v>
      </c>
    </row>
    <row r="17" spans="1:21" ht="13.5" thickBot="1" x14ac:dyDescent="0.25">
      <c r="A17" s="14" t="s">
        <v>32</v>
      </c>
      <c r="B17" s="10"/>
      <c r="C17" s="10">
        <f>COUNT(C21:C2191)</f>
        <v>5</v>
      </c>
      <c r="E17" s="14" t="s">
        <v>40</v>
      </c>
      <c r="F17" s="15">
        <f ca="1">ROUND(2*(F16-$C$7)/$C$8,0)/2+F15</f>
        <v>25253</v>
      </c>
    </row>
    <row r="18" spans="1:21" ht="14.25" thickTop="1" thickBot="1" x14ac:dyDescent="0.25">
      <c r="A18" s="16" t="s">
        <v>10</v>
      </c>
      <c r="B18" s="10"/>
      <c r="C18" s="19">
        <f ca="1">+C15</f>
        <v>57124.371077007963</v>
      </c>
      <c r="D18" s="20">
        <f ca="1">+C16</f>
        <v>0.3535153347516462</v>
      </c>
      <c r="E18" s="14" t="s">
        <v>41</v>
      </c>
      <c r="F18" s="23">
        <f ca="1">ROUND(2*(F16-$C$15)/$C$16,0)/2+F15</f>
        <v>9054</v>
      </c>
    </row>
    <row r="19" spans="1:21" ht="13.5" thickTop="1" x14ac:dyDescent="0.2">
      <c r="E19" s="14" t="s">
        <v>36</v>
      </c>
      <c r="F19" s="18">
        <f ca="1">+$C$15+$C$16*F18-15018.5-$C$5/24</f>
        <v>45306.994751182705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49</v>
      </c>
      <c r="J20" s="7" t="s">
        <v>0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38</v>
      </c>
    </row>
    <row r="21" spans="1:21" x14ac:dyDescent="0.2">
      <c r="A21" t="s">
        <v>43</v>
      </c>
      <c r="C21" s="8">
        <f>C7</f>
        <v>51397.800999999999</v>
      </c>
      <c r="D21" s="8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-2.4830633954609771E-2</v>
      </c>
      <c r="Q21" s="2">
        <f>+C21-15018.5</f>
        <v>36379.300999999999</v>
      </c>
    </row>
    <row r="22" spans="1:21" x14ac:dyDescent="0.2">
      <c r="A22" s="30" t="s">
        <v>46</v>
      </c>
      <c r="B22" s="31" t="s">
        <v>47</v>
      </c>
      <c r="C22" s="30">
        <v>56014.862200000003</v>
      </c>
      <c r="D22" s="30">
        <v>6.9999999999999999E-4</v>
      </c>
      <c r="E22">
        <f>+(C22-C$7)/C$8</f>
        <v>13060.439302434135</v>
      </c>
      <c r="F22">
        <f>ROUND(2*E22,0)/2</f>
        <v>13060.5</v>
      </c>
      <c r="G22">
        <f>+C22-(C$7+F22*C$8)</f>
        <v>-2.1457499999087304E-2</v>
      </c>
      <c r="K22">
        <f>+G22</f>
        <v>-2.1457499999087304E-2</v>
      </c>
      <c r="O22">
        <f ca="1">+C$11+C$12*$F22</f>
        <v>-2.0458610079317242E-2</v>
      </c>
      <c r="Q22" s="2">
        <f>+C22-15018.5</f>
        <v>40996.362200000003</v>
      </c>
      <c r="R22" t="s">
        <v>3</v>
      </c>
    </row>
    <row r="23" spans="1:21" x14ac:dyDescent="0.2">
      <c r="A23" s="30" t="s">
        <v>46</v>
      </c>
      <c r="B23" s="31" t="s">
        <v>48</v>
      </c>
      <c r="C23" s="30">
        <v>56085.744100000004</v>
      </c>
      <c r="D23" s="30">
        <v>5.0000000000000001E-4</v>
      </c>
      <c r="E23">
        <f>+(C23-C$7)/C$8</f>
        <v>13260.945362997338</v>
      </c>
      <c r="F23">
        <f>ROUND(2*E23,0)/2</f>
        <v>13261</v>
      </c>
      <c r="G23">
        <f>+C23-(C$7+F23*C$8)</f>
        <v>-1.931499999773223E-2</v>
      </c>
      <c r="K23">
        <f>+G23</f>
        <v>-1.931499999773223E-2</v>
      </c>
      <c r="O23">
        <f ca="1">+C$11+C$12*$F23</f>
        <v>-2.0391492374252647E-2</v>
      </c>
      <c r="Q23" s="2">
        <f>+C23-15018.5</f>
        <v>41067.244100000004</v>
      </c>
      <c r="R23" t="s">
        <v>3</v>
      </c>
    </row>
    <row r="24" spans="1:21" x14ac:dyDescent="0.2">
      <c r="A24" s="32" t="s">
        <v>50</v>
      </c>
      <c r="B24" s="33" t="s">
        <v>2</v>
      </c>
      <c r="C24" s="34">
        <v>57104.396970000002</v>
      </c>
      <c r="D24" s="34">
        <v>2.9999999999999997E-4</v>
      </c>
      <c r="E24">
        <f>+(C24-C$7)/C$8</f>
        <v>16142.443658684926</v>
      </c>
      <c r="F24">
        <f>ROUND(2*E24,0)/2</f>
        <v>16142.5</v>
      </c>
      <c r="G24">
        <f>+C24-(C$7+F24*C$8)</f>
        <v>-1.9917500001611188E-2</v>
      </c>
      <c r="K24">
        <f>+G24</f>
        <v>-1.9917500001611188E-2</v>
      </c>
      <c r="O24">
        <f ca="1">+C$11+C$12*$F24</f>
        <v>-1.9426905505705853E-2</v>
      </c>
      <c r="Q24" s="2">
        <f>+C24-15018.5</f>
        <v>42085.896970000002</v>
      </c>
      <c r="R24" t="s">
        <v>3</v>
      </c>
    </row>
    <row r="25" spans="1:21" x14ac:dyDescent="0.2">
      <c r="A25" s="32" t="s">
        <v>50</v>
      </c>
      <c r="B25" s="33" t="s">
        <v>1</v>
      </c>
      <c r="C25" s="34">
        <v>57124.371489999998</v>
      </c>
      <c r="D25" s="34">
        <v>2.0000000000000001E-4</v>
      </c>
      <c r="E25">
        <f>+(C25-C$7)/C$8</f>
        <v>16198.946268192291</v>
      </c>
      <c r="F25">
        <f>ROUND(2*E25,0)/2</f>
        <v>16199</v>
      </c>
      <c r="G25">
        <f>+C25-(C$7+F25*C$8)</f>
        <v>-1.8994999998540152E-2</v>
      </c>
      <c r="K25">
        <f>+G25</f>
        <v>-1.8994999998540152E-2</v>
      </c>
      <c r="O25">
        <f ca="1">+C$11+C$12*$F25</f>
        <v>-1.9407992037695131E-2</v>
      </c>
      <c r="Q25" s="2">
        <f>+C25-15018.5</f>
        <v>42105.871489999998</v>
      </c>
      <c r="R25" t="s">
        <v>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84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2024-01-15T04:47:36Z</dcterms:modified>
</cp:coreProperties>
</file>