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4353545-02F6-41B8-939A-E392D7841A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0" i="1" l="1"/>
  <c r="F40" i="1"/>
  <c r="G40" i="1"/>
  <c r="K40" i="1"/>
  <c r="E41" i="1"/>
  <c r="F41" i="1"/>
  <c r="G41" i="1"/>
  <c r="K41" i="1"/>
  <c r="D9" i="1"/>
  <c r="C9" i="1"/>
  <c r="Q40" i="1"/>
  <c r="Q41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22" i="1"/>
  <c r="F22" i="1"/>
  <c r="G22" i="1"/>
  <c r="I22" i="1"/>
  <c r="E23" i="1"/>
  <c r="F23" i="1"/>
  <c r="G23" i="1"/>
  <c r="K23" i="1"/>
  <c r="E24" i="1"/>
  <c r="F24" i="1"/>
  <c r="G24" i="1"/>
  <c r="E25" i="1"/>
  <c r="F25" i="1"/>
  <c r="G25" i="1"/>
  <c r="J25" i="1"/>
  <c r="E26" i="1"/>
  <c r="F26" i="1"/>
  <c r="G26" i="1"/>
  <c r="K26" i="1"/>
  <c r="E27" i="1"/>
  <c r="F27" i="1"/>
  <c r="G27" i="1"/>
  <c r="K27" i="1"/>
  <c r="E28" i="1"/>
  <c r="F28" i="1"/>
  <c r="G28" i="1"/>
  <c r="J28" i="1"/>
  <c r="E29" i="1"/>
  <c r="F29" i="1"/>
  <c r="G29" i="1"/>
  <c r="J29" i="1"/>
  <c r="E30" i="1"/>
  <c r="F30" i="1"/>
  <c r="G30" i="1"/>
  <c r="K30" i="1"/>
  <c r="E31" i="1"/>
  <c r="F31" i="1"/>
  <c r="G31" i="1"/>
  <c r="K31" i="1"/>
  <c r="E32" i="1"/>
  <c r="F32" i="1"/>
  <c r="G32" i="1"/>
  <c r="E33" i="1"/>
  <c r="F33" i="1"/>
  <c r="G33" i="1"/>
  <c r="K33" i="1"/>
  <c r="Q34" i="1"/>
  <c r="Q35" i="1"/>
  <c r="Q36" i="1"/>
  <c r="Q37" i="1"/>
  <c r="Q38" i="1"/>
  <c r="Q39" i="1"/>
  <c r="E21" i="1"/>
  <c r="F21" i="1"/>
  <c r="G21" i="1"/>
  <c r="Q22" i="1"/>
  <c r="Q33" i="1"/>
  <c r="G19" i="2"/>
  <c r="C19" i="2"/>
  <c r="E19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18" i="2"/>
  <c r="C18" i="2"/>
  <c r="E18" i="2"/>
  <c r="H19" i="2"/>
  <c r="D19" i="2"/>
  <c r="B19" i="2"/>
  <c r="A19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18" i="2"/>
  <c r="D18" i="2"/>
  <c r="B18" i="2"/>
  <c r="A18" i="2"/>
  <c r="Q28" i="1"/>
  <c r="Q29" i="1"/>
  <c r="J32" i="1"/>
  <c r="Q32" i="1"/>
  <c r="Q27" i="1"/>
  <c r="Q30" i="1"/>
  <c r="Q31" i="1"/>
  <c r="J24" i="1"/>
  <c r="Q24" i="1"/>
  <c r="Q25" i="1"/>
  <c r="Q26" i="1"/>
  <c r="Q23" i="1"/>
  <c r="F16" i="1"/>
  <c r="F17" i="1" s="1"/>
  <c r="C17" i="1"/>
  <c r="Q21" i="1"/>
  <c r="I21" i="1"/>
  <c r="C11" i="1"/>
  <c r="C12" i="1"/>
  <c r="C16" i="1" l="1"/>
  <c r="D18" i="1" s="1"/>
  <c r="O36" i="1"/>
  <c r="O37" i="1"/>
  <c r="O29" i="1"/>
  <c r="O31" i="1"/>
  <c r="O38" i="1"/>
  <c r="O24" i="1"/>
  <c r="O41" i="1"/>
  <c r="O33" i="1"/>
  <c r="O30" i="1"/>
  <c r="O32" i="1"/>
  <c r="O22" i="1"/>
  <c r="O27" i="1"/>
  <c r="O35" i="1"/>
  <c r="O26" i="1"/>
  <c r="O34" i="1"/>
  <c r="O39" i="1"/>
  <c r="O21" i="1"/>
  <c r="C15" i="1"/>
  <c r="O23" i="1"/>
  <c r="O25" i="1"/>
  <c r="O28" i="1"/>
  <c r="O40" i="1"/>
  <c r="C18" i="1" l="1"/>
  <c r="F18" i="1"/>
  <c r="F19" i="1" s="1"/>
</calcChain>
</file>

<file path=xl/sharedStrings.xml><?xml version="1.0" encoding="utf-8"?>
<sst xmlns="http://schemas.openxmlformats.org/spreadsheetml/2006/main" count="178" uniqueCount="117">
  <si>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</si>
  <si>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</si>
  <si>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</si>
  <si>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</si>
  <si>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</si>
  <si>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</si>
  <si>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</si>
  <si>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</si>
  <si>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</si>
  <si>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</si>
  <si>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</si>
  <si>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</si>
  <si>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</si>
  <si>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</si>
  <si>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</si>
  <si>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</si>
  <si>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</si>
  <si>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</si>
  <si>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</si>
  <si>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</si>
  <si>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</si>
  <si>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</si>
  <si>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</si>
  <si>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</si>
  <si>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</si>
  <si>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</si>
  <si>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</si>
  <si>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</si>
  <si>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</si>
  <si>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</si>
  <si>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</si>
  <si>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</si>
  <si>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</si>
  <si>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</si>
  <si>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</si>
  <si>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</si>
  <si>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</si>
  <si>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</si>
  <si>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</si>
  <si>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</si>
  <si>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PY Boo / GSC 3488-0585</t>
  </si>
  <si>
    <t>IBVS 6029</t>
  </si>
  <si>
    <t>I:</t>
  </si>
  <si>
    <t>IBVS 6070</t>
  </si>
  <si>
    <t>I</t>
  </si>
  <si>
    <t>IBVS 6084</t>
  </si>
  <si>
    <t>OEJV 0160</t>
  </si>
  <si>
    <t>IBVS 6149</t>
  </si>
  <si>
    <t>IBVS 6152</t>
  </si>
  <si>
    <t>OEJV 0165</t>
  </si>
  <si>
    <t>6,00E-05</t>
  </si>
  <si>
    <t>OEJV 0168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</si>
  <si>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</si>
  <si>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</si>
  <si>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</si>
  <si>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</si>
  <si>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</si>
  <si>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</si>
  <si>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</si>
  <si>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</si>
  <si>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</si>
  <si>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</si>
  <si>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</si>
  <si>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</si>
  <si>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2455367.825 </t>
  </si>
  <si>
    <t> 20.06.2010 07:48 </t>
  </si>
  <si>
    <t> 0.028 </t>
  </si>
  <si>
    <t>C </t>
  </si>
  <si>
    <t>o</t>
  </si>
  <si>
    <t> A.Paschke </t>
  </si>
  <si>
    <t>OEJV 0162 </t>
  </si>
  <si>
    <t>2456029.8606 </t>
  </si>
  <si>
    <t> 12.04.2012 08:39 </t>
  </si>
  <si>
    <t> 0.0335 </t>
  </si>
  <si>
    <t> R.Diethelm </t>
  </si>
  <si>
    <t>IBVS 6029 </t>
  </si>
  <si>
    <t>2456060.4449 </t>
  </si>
  <si>
    <t> 12.05.2012 22:40 </t>
  </si>
  <si>
    <t> 0.0327 </t>
  </si>
  <si>
    <t>-I</t>
  </si>
  <si>
    <t> K. &amp; M.Rätz </t>
  </si>
  <si>
    <t>BAVM 231 </t>
  </si>
  <si>
    <t>2456400.4999 </t>
  </si>
  <si>
    <t> 17.04.2013 23:59 </t>
  </si>
  <si>
    <t>17973</t>
  </si>
  <si>
    <t> 0.0362 </t>
  </si>
  <si>
    <t> F.Agerer </t>
  </si>
  <si>
    <t>BAVM 232 </t>
  </si>
  <si>
    <t>2456407.44367 </t>
  </si>
  <si>
    <t> 24.04.2013 22:38 </t>
  </si>
  <si>
    <t>17998</t>
  </si>
  <si>
    <t> 0.02876 </t>
  </si>
  <si>
    <t> M.Audejean </t>
  </si>
  <si>
    <t>OEJV 0160 </t>
  </si>
  <si>
    <t>2456745.4220 </t>
  </si>
  <si>
    <t> 28.03.2014 22:07 </t>
  </si>
  <si>
    <t>19213.5</t>
  </si>
  <si>
    <t> 0.0410 </t>
  </si>
  <si>
    <t>BAVM 238 </t>
  </si>
  <si>
    <t>2456745.5569 </t>
  </si>
  <si>
    <t> 29.03.2014 01:21 </t>
  </si>
  <si>
    <t>19214</t>
  </si>
  <si>
    <t> 0.0368 </t>
  </si>
  <si>
    <t>2457066.7037 </t>
  </si>
  <si>
    <t> 13.02.2015 04:53 </t>
  </si>
  <si>
    <t>20369</t>
  </si>
  <si>
    <t> 0.0394 </t>
  </si>
  <si>
    <t> W.Moschner &amp; P.Frank </t>
  </si>
  <si>
    <t>BAVM 239 </t>
  </si>
  <si>
    <t>2457123.4254 </t>
  </si>
  <si>
    <t> 10.04.2015 22:12 </t>
  </si>
  <si>
    <t>20573</t>
  </si>
  <si>
    <t> 0.0395 </t>
  </si>
  <si>
    <t>BAVM 241 (=IBVS 6157) </t>
  </si>
  <si>
    <t>IBVS 6157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</si>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</sst>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6" fillId="0" borderId="0"/>
    <xf numFmtId="0" fontId="2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19" fillId="0" borderId="0" xfId="43" applyFont="1"/>
    <xf numFmtId="0" fontId="19" fillId="0" borderId="0" xfId="43" applyFont="1" applyAlignment="1">
      <alignment horizontal="center"/>
    </xf>
    <xf numFmtId="0" fontId="19" fillId="0" borderId="0" xfId="43" applyFont="1" applyAlignment="1">
      <alignment horizontal="left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0" fillId="0" borderId="0" xfId="0" applyAlignment="1">
      <alignment horizontal="righ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PY Boo - O-C Diagr.</a:t>
            </a:r>
          </a:p>
        </c:rich>
      </c:tx>
      <c:layout>
        <c:manualLayout>
          <c:xMode val="edge"/>
          <c:yMode val="edge"/>
          <c:x val="0.392757952609684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2655048103898"/>
          <c:y val="0.14035127795846455"/>
          <c:w val="0.827298612749861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14259</c:v>
                </c:pt>
                <c:pt idx="2">
                  <c:v>16640</c:v>
                </c:pt>
                <c:pt idx="3">
                  <c:v>16750</c:v>
                </c:pt>
                <c:pt idx="4">
                  <c:v>17973</c:v>
                </c:pt>
                <c:pt idx="5">
                  <c:v>17998</c:v>
                </c:pt>
                <c:pt idx="6">
                  <c:v>17998</c:v>
                </c:pt>
                <c:pt idx="7">
                  <c:v>19213.5</c:v>
                </c:pt>
                <c:pt idx="8">
                  <c:v>19214</c:v>
                </c:pt>
                <c:pt idx="9">
                  <c:v>19397</c:v>
                </c:pt>
                <c:pt idx="10">
                  <c:v>19508.5</c:v>
                </c:pt>
                <c:pt idx="11">
                  <c:v>20369</c:v>
                </c:pt>
                <c:pt idx="12">
                  <c:v>20573</c:v>
                </c:pt>
                <c:pt idx="13">
                  <c:v>20591</c:v>
                </c:pt>
                <c:pt idx="14">
                  <c:v>20684.5</c:v>
                </c:pt>
                <c:pt idx="15">
                  <c:v>20685</c:v>
                </c:pt>
                <c:pt idx="16">
                  <c:v>20778</c:v>
                </c:pt>
                <c:pt idx="17">
                  <c:v>21814</c:v>
                </c:pt>
                <c:pt idx="18">
                  <c:v>21997.5</c:v>
                </c:pt>
                <c:pt idx="19">
                  <c:v>23105</c:v>
                </c:pt>
                <c:pt idx="20">
                  <c:v>23234.5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B9-4657-9549-D7897247CA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14259</c:v>
                </c:pt>
                <c:pt idx="2">
                  <c:v>16640</c:v>
                </c:pt>
                <c:pt idx="3">
                  <c:v>16750</c:v>
                </c:pt>
                <c:pt idx="4">
                  <c:v>17973</c:v>
                </c:pt>
                <c:pt idx="5">
                  <c:v>17998</c:v>
                </c:pt>
                <c:pt idx="6">
                  <c:v>17998</c:v>
                </c:pt>
                <c:pt idx="7">
                  <c:v>19213.5</c:v>
                </c:pt>
                <c:pt idx="8">
                  <c:v>19214</c:v>
                </c:pt>
                <c:pt idx="9">
                  <c:v>19397</c:v>
                </c:pt>
                <c:pt idx="10">
                  <c:v>19508.5</c:v>
                </c:pt>
                <c:pt idx="11">
                  <c:v>20369</c:v>
                </c:pt>
                <c:pt idx="12">
                  <c:v>20573</c:v>
                </c:pt>
                <c:pt idx="13">
                  <c:v>20591</c:v>
                </c:pt>
                <c:pt idx="14">
                  <c:v>20684.5</c:v>
                </c:pt>
                <c:pt idx="15">
                  <c:v>20685</c:v>
                </c:pt>
                <c:pt idx="16">
                  <c:v>20778</c:v>
                </c:pt>
                <c:pt idx="17">
                  <c:v>21814</c:v>
                </c:pt>
                <c:pt idx="18">
                  <c:v>21997.5</c:v>
                </c:pt>
                <c:pt idx="19">
                  <c:v>23105</c:v>
                </c:pt>
                <c:pt idx="20">
                  <c:v>23234.5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2.7826999998069368E-2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B9-4657-9549-D7897247CA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14259</c:v>
                </c:pt>
                <c:pt idx="2">
                  <c:v>16640</c:v>
                </c:pt>
                <c:pt idx="3">
                  <c:v>16750</c:v>
                </c:pt>
                <c:pt idx="4">
                  <c:v>17973</c:v>
                </c:pt>
                <c:pt idx="5">
                  <c:v>17998</c:v>
                </c:pt>
                <c:pt idx="6">
                  <c:v>17998</c:v>
                </c:pt>
                <c:pt idx="7">
                  <c:v>19213.5</c:v>
                </c:pt>
                <c:pt idx="8">
                  <c:v>19214</c:v>
                </c:pt>
                <c:pt idx="9">
                  <c:v>19397</c:v>
                </c:pt>
                <c:pt idx="10">
                  <c:v>19508.5</c:v>
                </c:pt>
                <c:pt idx="11">
                  <c:v>20369</c:v>
                </c:pt>
                <c:pt idx="12">
                  <c:v>20573</c:v>
                </c:pt>
                <c:pt idx="13">
                  <c:v>20591</c:v>
                </c:pt>
                <c:pt idx="14">
                  <c:v>20684.5</c:v>
                </c:pt>
                <c:pt idx="15">
                  <c:v>20685</c:v>
                </c:pt>
                <c:pt idx="16">
                  <c:v>20778</c:v>
                </c:pt>
                <c:pt idx="17">
                  <c:v>21814</c:v>
                </c:pt>
                <c:pt idx="18">
                  <c:v>21997.5</c:v>
                </c:pt>
                <c:pt idx="19">
                  <c:v>23105</c:v>
                </c:pt>
                <c:pt idx="20">
                  <c:v>23234.5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3.2650000001012813E-2</c:v>
                </c:pt>
                <c:pt idx="4">
                  <c:v>3.6169000006339047E-2</c:v>
                </c:pt>
                <c:pt idx="7">
                  <c:v>4.0965499996673316E-2</c:v>
                </c:pt>
                <c:pt idx="8">
                  <c:v>3.6842000001342967E-2</c:v>
                </c:pt>
                <c:pt idx="11">
                  <c:v>3.9357000001473352E-2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B9-4657-9549-D7897247CA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14259</c:v>
                </c:pt>
                <c:pt idx="2">
                  <c:v>16640</c:v>
                </c:pt>
                <c:pt idx="3">
                  <c:v>16750</c:v>
                </c:pt>
                <c:pt idx="4">
                  <c:v>17973</c:v>
                </c:pt>
                <c:pt idx="5">
                  <c:v>17998</c:v>
                </c:pt>
                <c:pt idx="6">
                  <c:v>17998</c:v>
                </c:pt>
                <c:pt idx="7">
                  <c:v>19213.5</c:v>
                </c:pt>
                <c:pt idx="8">
                  <c:v>19214</c:v>
                </c:pt>
                <c:pt idx="9">
                  <c:v>19397</c:v>
                </c:pt>
                <c:pt idx="10">
                  <c:v>19508.5</c:v>
                </c:pt>
                <c:pt idx="11">
                  <c:v>20369</c:v>
                </c:pt>
                <c:pt idx="12">
                  <c:v>20573</c:v>
                </c:pt>
                <c:pt idx="13">
                  <c:v>20591</c:v>
                </c:pt>
                <c:pt idx="14">
                  <c:v>20684.5</c:v>
                </c:pt>
                <c:pt idx="15">
                  <c:v>20685</c:v>
                </c:pt>
                <c:pt idx="16">
                  <c:v>20778</c:v>
                </c:pt>
                <c:pt idx="17">
                  <c:v>21814</c:v>
                </c:pt>
                <c:pt idx="18">
                  <c:v>21997.5</c:v>
                </c:pt>
                <c:pt idx="19">
                  <c:v>23105</c:v>
                </c:pt>
                <c:pt idx="20">
                  <c:v>23234.5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3.3519999997224659E-2</c:v>
                </c:pt>
                <c:pt idx="5">
                  <c:v>2.8764000002411194E-2</c:v>
                </c:pt>
                <c:pt idx="6">
                  <c:v>3.6884000001009554E-2</c:v>
                </c:pt>
                <c:pt idx="9">
                  <c:v>3.7430999997013714E-2</c:v>
                </c:pt>
                <c:pt idx="10">
                  <c:v>3.9780500002962071E-2</c:v>
                </c:pt>
                <c:pt idx="12">
                  <c:v>3.9469000003009569E-2</c:v>
                </c:pt>
                <c:pt idx="13">
                  <c:v>4.1822999999567401E-2</c:v>
                </c:pt>
                <c:pt idx="14">
                  <c:v>4.1148500000417698E-2</c:v>
                </c:pt>
                <c:pt idx="15">
                  <c:v>3.8775000000896398E-2</c:v>
                </c:pt>
                <c:pt idx="16">
                  <c:v>3.8513999999850057E-2</c:v>
                </c:pt>
                <c:pt idx="17">
                  <c:v>3.795199999876786E-2</c:v>
                </c:pt>
                <c:pt idx="18">
                  <c:v>3.9407500000379514E-2</c:v>
                </c:pt>
                <c:pt idx="19">
                  <c:v>3.8014999867300503E-2</c:v>
                </c:pt>
                <c:pt idx="20">
                  <c:v>3.9708500131382607E-2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B9-4657-9549-D7897247CA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14259</c:v>
                </c:pt>
                <c:pt idx="2">
                  <c:v>16640</c:v>
                </c:pt>
                <c:pt idx="3">
                  <c:v>16750</c:v>
                </c:pt>
                <c:pt idx="4">
                  <c:v>17973</c:v>
                </c:pt>
                <c:pt idx="5">
                  <c:v>17998</c:v>
                </c:pt>
                <c:pt idx="6">
                  <c:v>17998</c:v>
                </c:pt>
                <c:pt idx="7">
                  <c:v>19213.5</c:v>
                </c:pt>
                <c:pt idx="8">
                  <c:v>19214</c:v>
                </c:pt>
                <c:pt idx="9">
                  <c:v>19397</c:v>
                </c:pt>
                <c:pt idx="10">
                  <c:v>19508.5</c:v>
                </c:pt>
                <c:pt idx="11">
                  <c:v>20369</c:v>
                </c:pt>
                <c:pt idx="12">
                  <c:v>20573</c:v>
                </c:pt>
                <c:pt idx="13">
                  <c:v>20591</c:v>
                </c:pt>
                <c:pt idx="14">
                  <c:v>20684.5</c:v>
                </c:pt>
                <c:pt idx="15">
                  <c:v>20685</c:v>
                </c:pt>
                <c:pt idx="16">
                  <c:v>20778</c:v>
                </c:pt>
                <c:pt idx="17">
                  <c:v>21814</c:v>
                </c:pt>
                <c:pt idx="18">
                  <c:v>21997.5</c:v>
                </c:pt>
                <c:pt idx="19">
                  <c:v>23105</c:v>
                </c:pt>
                <c:pt idx="20">
                  <c:v>23234.5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B9-4657-9549-D7897247CA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14259</c:v>
                </c:pt>
                <c:pt idx="2">
                  <c:v>16640</c:v>
                </c:pt>
                <c:pt idx="3">
                  <c:v>16750</c:v>
                </c:pt>
                <c:pt idx="4">
                  <c:v>17973</c:v>
                </c:pt>
                <c:pt idx="5">
                  <c:v>17998</c:v>
                </c:pt>
                <c:pt idx="6">
                  <c:v>17998</c:v>
                </c:pt>
                <c:pt idx="7">
                  <c:v>19213.5</c:v>
                </c:pt>
                <c:pt idx="8">
                  <c:v>19214</c:v>
                </c:pt>
                <c:pt idx="9">
                  <c:v>19397</c:v>
                </c:pt>
                <c:pt idx="10">
                  <c:v>19508.5</c:v>
                </c:pt>
                <c:pt idx="11">
                  <c:v>20369</c:v>
                </c:pt>
                <c:pt idx="12">
                  <c:v>20573</c:v>
                </c:pt>
                <c:pt idx="13">
                  <c:v>20591</c:v>
                </c:pt>
                <c:pt idx="14">
                  <c:v>20684.5</c:v>
                </c:pt>
                <c:pt idx="15">
                  <c:v>20685</c:v>
                </c:pt>
                <c:pt idx="16">
                  <c:v>20778</c:v>
                </c:pt>
                <c:pt idx="17">
                  <c:v>21814</c:v>
                </c:pt>
                <c:pt idx="18">
                  <c:v>21997.5</c:v>
                </c:pt>
                <c:pt idx="19">
                  <c:v>23105</c:v>
                </c:pt>
                <c:pt idx="20">
                  <c:v>23234.5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B9-4657-9549-D7897247CA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4.7999999999999996E-3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1.4E-3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14259</c:v>
                </c:pt>
                <c:pt idx="2">
                  <c:v>16640</c:v>
                </c:pt>
                <c:pt idx="3">
                  <c:v>16750</c:v>
                </c:pt>
                <c:pt idx="4">
                  <c:v>17973</c:v>
                </c:pt>
                <c:pt idx="5">
                  <c:v>17998</c:v>
                </c:pt>
                <c:pt idx="6">
                  <c:v>17998</c:v>
                </c:pt>
                <c:pt idx="7">
                  <c:v>19213.5</c:v>
                </c:pt>
                <c:pt idx="8">
                  <c:v>19214</c:v>
                </c:pt>
                <c:pt idx="9">
                  <c:v>19397</c:v>
                </c:pt>
                <c:pt idx="10">
                  <c:v>19508.5</c:v>
                </c:pt>
                <c:pt idx="11">
                  <c:v>20369</c:v>
                </c:pt>
                <c:pt idx="12">
                  <c:v>20573</c:v>
                </c:pt>
                <c:pt idx="13">
                  <c:v>20591</c:v>
                </c:pt>
                <c:pt idx="14">
                  <c:v>20684.5</c:v>
                </c:pt>
                <c:pt idx="15">
                  <c:v>20685</c:v>
                </c:pt>
                <c:pt idx="16">
                  <c:v>20778</c:v>
                </c:pt>
                <c:pt idx="17">
                  <c:v>21814</c:v>
                </c:pt>
                <c:pt idx="18">
                  <c:v>21997.5</c:v>
                </c:pt>
                <c:pt idx="19">
                  <c:v>23105</c:v>
                </c:pt>
                <c:pt idx="20">
                  <c:v>23234.5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B9-4657-9549-D7897247CA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14259</c:v>
                </c:pt>
                <c:pt idx="2">
                  <c:v>16640</c:v>
                </c:pt>
                <c:pt idx="3">
                  <c:v>16750</c:v>
                </c:pt>
                <c:pt idx="4">
                  <c:v>17973</c:v>
                </c:pt>
                <c:pt idx="5">
                  <c:v>17998</c:v>
                </c:pt>
                <c:pt idx="6">
                  <c:v>17998</c:v>
                </c:pt>
                <c:pt idx="7">
                  <c:v>19213.5</c:v>
                </c:pt>
                <c:pt idx="8">
                  <c:v>19214</c:v>
                </c:pt>
                <c:pt idx="9">
                  <c:v>19397</c:v>
                </c:pt>
                <c:pt idx="10">
                  <c:v>19508.5</c:v>
                </c:pt>
                <c:pt idx="11">
                  <c:v>20369</c:v>
                </c:pt>
                <c:pt idx="12">
                  <c:v>20573</c:v>
                </c:pt>
                <c:pt idx="13">
                  <c:v>20591</c:v>
                </c:pt>
                <c:pt idx="14">
                  <c:v>20684.5</c:v>
                </c:pt>
                <c:pt idx="15">
                  <c:v>20685</c:v>
                </c:pt>
                <c:pt idx="16">
                  <c:v>20778</c:v>
                </c:pt>
                <c:pt idx="17">
                  <c:v>21814</c:v>
                </c:pt>
                <c:pt idx="18">
                  <c:v>21997.5</c:v>
                </c:pt>
                <c:pt idx="19">
                  <c:v>23105</c:v>
                </c:pt>
                <c:pt idx="20">
                  <c:v>23234.5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3.9848128981013843E-2</c:v>
                </c:pt>
                <c:pt idx="1">
                  <c:v>3.9422789441169247E-2</c:v>
                </c:pt>
                <c:pt idx="2">
                  <c:v>3.9351765284891108E-2</c:v>
                </c:pt>
                <c:pt idx="3">
                  <c:v>3.9348484034496062E-2</c:v>
                </c:pt>
                <c:pt idx="4">
                  <c:v>3.9312002496013E-2</c:v>
                </c:pt>
                <c:pt idx="5">
                  <c:v>3.9311256757286854E-2</c:v>
                </c:pt>
                <c:pt idx="6">
                  <c:v>3.9311256757286854E-2</c:v>
                </c:pt>
                <c:pt idx="7">
                  <c:v>3.9274998940421642E-2</c:v>
                </c:pt>
                <c:pt idx="8">
                  <c:v>3.9274984025647115E-2</c:v>
                </c:pt>
                <c:pt idx="9">
                  <c:v>3.926952521817173E-2</c:v>
                </c:pt>
                <c:pt idx="10">
                  <c:v>3.9266199223453119E-2</c:v>
                </c:pt>
                <c:pt idx="11">
                  <c:v>3.9240530896499176E-2</c:v>
                </c:pt>
                <c:pt idx="12">
                  <c:v>3.9234445668493823E-2</c:v>
                </c:pt>
                <c:pt idx="13">
                  <c:v>3.9233908736610999E-2</c:v>
                </c:pt>
                <c:pt idx="14">
                  <c:v>3.9231119673775211E-2</c:v>
                </c:pt>
                <c:pt idx="15">
                  <c:v>3.9231104759000691E-2</c:v>
                </c:pt>
                <c:pt idx="16">
                  <c:v>3.922833061093943E-2</c:v>
                </c:pt>
                <c:pt idx="17">
                  <c:v>3.9197427198127938E-2</c:v>
                </c:pt>
                <c:pt idx="18">
                  <c:v>3.9191953475878026E-2</c:v>
                </c:pt>
                <c:pt idx="19">
                  <c:v>3.915891725030976E-2</c:v>
                </c:pt>
                <c:pt idx="20">
                  <c:v>3.9155054323708326E-2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B9-4657-9549-D7897247CA1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14259</c:v>
                </c:pt>
                <c:pt idx="2">
                  <c:v>16640</c:v>
                </c:pt>
                <c:pt idx="3">
                  <c:v>16750</c:v>
                </c:pt>
                <c:pt idx="4">
                  <c:v>17973</c:v>
                </c:pt>
                <c:pt idx="5">
                  <c:v>17998</c:v>
                </c:pt>
                <c:pt idx="6">
                  <c:v>17998</c:v>
                </c:pt>
                <c:pt idx="7">
                  <c:v>19213.5</c:v>
                </c:pt>
                <c:pt idx="8">
                  <c:v>19214</c:v>
                </c:pt>
                <c:pt idx="9">
                  <c:v>19397</c:v>
                </c:pt>
                <c:pt idx="10">
                  <c:v>19508.5</c:v>
                </c:pt>
                <c:pt idx="11">
                  <c:v>20369</c:v>
                </c:pt>
                <c:pt idx="12">
                  <c:v>20573</c:v>
                </c:pt>
                <c:pt idx="13">
                  <c:v>20591</c:v>
                </c:pt>
                <c:pt idx="14">
                  <c:v>20684.5</c:v>
                </c:pt>
                <c:pt idx="15">
                  <c:v>20685</c:v>
                </c:pt>
                <c:pt idx="16">
                  <c:v>20778</c:v>
                </c:pt>
                <c:pt idx="17">
                  <c:v>21814</c:v>
                </c:pt>
                <c:pt idx="18">
                  <c:v>21997.5</c:v>
                </c:pt>
                <c:pt idx="19">
                  <c:v>23105</c:v>
                </c:pt>
                <c:pt idx="20">
                  <c:v>23234.5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B9-4657-9549-D7897247CA1B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14259</c:v>
                </c:pt>
                <c:pt idx="2">
                  <c:v>16640</c:v>
                </c:pt>
                <c:pt idx="3">
                  <c:v>16750</c:v>
                </c:pt>
                <c:pt idx="4">
                  <c:v>17973</c:v>
                </c:pt>
                <c:pt idx="5">
                  <c:v>17998</c:v>
                </c:pt>
                <c:pt idx="6">
                  <c:v>17998</c:v>
                </c:pt>
                <c:pt idx="7">
                  <c:v>19213.5</c:v>
                </c:pt>
                <c:pt idx="8">
                  <c:v>19214</c:v>
                </c:pt>
                <c:pt idx="9">
                  <c:v>19397</c:v>
                </c:pt>
                <c:pt idx="10">
                  <c:v>19508.5</c:v>
                </c:pt>
                <c:pt idx="11">
                  <c:v>20369</c:v>
                </c:pt>
                <c:pt idx="12">
                  <c:v>20573</c:v>
                </c:pt>
                <c:pt idx="13">
                  <c:v>20591</c:v>
                </c:pt>
                <c:pt idx="14">
                  <c:v>20684.5</c:v>
                </c:pt>
                <c:pt idx="15">
                  <c:v>20685</c:v>
                </c:pt>
                <c:pt idx="16">
                  <c:v>20778</c:v>
                </c:pt>
                <c:pt idx="17">
                  <c:v>21814</c:v>
                </c:pt>
                <c:pt idx="18">
                  <c:v>21997.5</c:v>
                </c:pt>
                <c:pt idx="19">
                  <c:v>23105</c:v>
                </c:pt>
                <c:pt idx="20">
                  <c:v>23234.5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7B9-4657-9549-D7897247C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18040"/>
        <c:axId val="1"/>
      </c:scatterChart>
      <c:valAx>
        <c:axId val="56501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4626879857288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01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77173396500924"/>
          <c:y val="0.92397937099967764"/>
          <c:w val="0.740947513872743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619125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A04C611-83D2-A93A-5ADA-885C9E67F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6029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var.astro.cz/oejv/issues/oejv0162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232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bav-astro.de/sfs/BAVM_link.php?BAVMnr=231" TargetMode="External"/><Relationship Id="rId9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40</v>
      </c>
    </row>
    <row r="2" spans="1:6">
      <c r="A2" t="s">
        <v>23</v>
      </c>
      <c r="B2" t="s">
        <v>39</v>
      </c>
      <c r="C2" s="3"/>
      <c r="D2" s="3"/>
    </row>
    <row r="3" spans="1:6" ht="13.5" thickBot="1"/>
    <row r="4" spans="1:6" ht="14.25" thickTop="1" thickBot="1">
      <c r="A4" s="5" t="s">
        <v>0</v>
      </c>
      <c r="C4" s="27" t="s">
        <v>37</v>
      </c>
      <c r="D4" s="28" t="s">
        <v>37</v>
      </c>
    </row>
    <row r="5" spans="1:6" ht="13.5" thickTop="1">
      <c r="A5" s="9" t="s">
        <v>28</v>
      </c>
      <c r="B5" s="10"/>
      <c r="C5" s="11">
        <v>-9.5</v>
      </c>
      <c r="D5" s="10" t="s">
        <v>29</v>
      </c>
    </row>
    <row r="6" spans="1:6">
      <c r="A6" s="5" t="s">
        <v>1</v>
      </c>
    </row>
    <row r="7" spans="1:6">
      <c r="A7" t="s">
        <v>2</v>
      </c>
      <c r="C7" s="59">
        <v>51403.125</v>
      </c>
      <c r="D7" s="29" t="s">
        <v>38</v>
      </c>
    </row>
    <row r="8" spans="1:6">
      <c r="A8" t="s">
        <v>3</v>
      </c>
      <c r="C8" s="59">
        <v>0.27804699999999999</v>
      </c>
      <c r="D8" s="29" t="s">
        <v>38</v>
      </c>
    </row>
    <row r="9" spans="1:6">
      <c r="A9" s="24" t="s">
        <v>32</v>
      </c>
      <c r="B9" s="25">
        <v>28</v>
      </c>
      <c r="C9" s="22" t="str">
        <f>"F"&amp;B9</f>
        <v>F28</v>
      </c>
      <c r="D9" s="23" t="str">
        <f>"G"&amp;B9</f>
        <v>G28</v>
      </c>
    </row>
    <row r="10" spans="1:6" ht="13.5" thickBot="1">
      <c r="A10" s="10"/>
      <c r="B10" s="10"/>
      <c r="C10" s="4" t="s">
        <v>19</v>
      </c>
      <c r="D10" s="4" t="s">
        <v>20</v>
      </c>
      <c r="E10" s="10"/>
    </row>
    <row r="11" spans="1:6">
      <c r="A11" s="10" t="s">
        <v>15</v>
      </c>
      <c r="B11" s="10"/>
      <c r="C11" s="21">
        <f ca="1">INTERCEPT(INDIRECT($D$9):G992,INDIRECT($C$9):F992)</f>
        <v>3.9848128981013843E-2</v>
      </c>
      <c r="D11" s="3"/>
      <c r="E11" s="10"/>
    </row>
    <row r="12" spans="1:6">
      <c r="A12" s="10" t="s">
        <v>16</v>
      </c>
      <c r="B12" s="10"/>
      <c r="C12" s="21">
        <f ca="1">SLOPE(INDIRECT($D$9):G992,INDIRECT($C$9):F992)</f>
        <v>-2.9829549045837673E-8</v>
      </c>
      <c r="D12" s="3"/>
      <c r="E12" s="10"/>
    </row>
    <row r="13" spans="1:6">
      <c r="A13" s="10" t="s">
        <v>18</v>
      </c>
      <c r="B13" s="10"/>
      <c r="C13" s="3" t="s">
        <v>13</v>
      </c>
    </row>
    <row r="14" spans="1:6">
      <c r="A14" s="10"/>
      <c r="B14" s="10"/>
      <c r="C14" s="10"/>
    </row>
    <row r="15" spans="1:6">
      <c r="A15" s="12" t="s">
        <v>17</v>
      </c>
      <c r="B15" s="10"/>
      <c r="C15" s="13">
        <f ca="1">(C7+C11)+(C8+C12)*INT(MAX(F21:F3533))</f>
        <v>57863.308153069236</v>
      </c>
      <c r="E15" s="14" t="s">
        <v>34</v>
      </c>
      <c r="F15" s="11">
        <v>1</v>
      </c>
    </row>
    <row r="16" spans="1:6">
      <c r="A16" s="16" t="s">
        <v>4</v>
      </c>
      <c r="B16" s="10"/>
      <c r="C16" s="17">
        <f ca="1">+C8+C12</f>
        <v>0.27804697017045094</v>
      </c>
      <c r="E16" s="14" t="s">
        <v>30</v>
      </c>
      <c r="F16" s="15">
        <f ca="1">NOW()+15018.5+$C$5/24</f>
        <v>60324.753868055552</v>
      </c>
    </row>
    <row r="17" spans="1:21" ht="13.5" thickBot="1">
      <c r="A17" s="14" t="s">
        <v>27</v>
      </c>
      <c r="B17" s="10"/>
      <c r="C17" s="10">
        <f>COUNT(C21:C2191)</f>
        <v>21</v>
      </c>
      <c r="E17" s="14" t="s">
        <v>35</v>
      </c>
      <c r="F17" s="15">
        <f ca="1">ROUND(2*(F16-$C$7)/$C$8,0)/2+F15</f>
        <v>32088</v>
      </c>
    </row>
    <row r="18" spans="1:21" ht="14.25" thickTop="1" thickBot="1">
      <c r="A18" s="16" t="s">
        <v>5</v>
      </c>
      <c r="B18" s="10"/>
      <c r="C18" s="19">
        <f ca="1">+C15</f>
        <v>57863.308153069236</v>
      </c>
      <c r="D18" s="20">
        <f ca="1">+C16</f>
        <v>0.27804697017045094</v>
      </c>
      <c r="E18" s="14" t="s">
        <v>36</v>
      </c>
      <c r="F18" s="23">
        <f ca="1">ROUND(2*(F16-$C$15)/$C$16,0)/2+F15</f>
        <v>8853.5</v>
      </c>
    </row>
    <row r="19" spans="1:21" ht="13.5" thickTop="1">
      <c r="E19" s="14" t="s">
        <v>31</v>
      </c>
      <c r="F19" s="18">
        <f ca="1">+$C$15+$C$16*F18-15018.5-$C$5/24</f>
        <v>45306.892836806663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63</v>
      </c>
      <c r="J20" s="7" t="s">
        <v>57</v>
      </c>
      <c r="K20" s="7" t="s">
        <v>55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>
      <c r="A21" t="s">
        <v>38</v>
      </c>
      <c r="C21" s="8">
        <v>51403.125</v>
      </c>
      <c r="D21" s="8" t="s">
        <v>13</v>
      </c>
      <c r="E21">
        <f t="shared" ref="E21:E33" si="0">+(C21-C$7)/C$8</f>
        <v>0</v>
      </c>
      <c r="F21">
        <f t="shared" ref="F21:F41" si="1">ROUND(2*E21,0)/2</f>
        <v>0</v>
      </c>
      <c r="G21">
        <f t="shared" ref="G21:G33" si="2">+C21-(C$7+F21*C$8)</f>
        <v>0</v>
      </c>
      <c r="I21">
        <f>+G21</f>
        <v>0</v>
      </c>
      <c r="O21">
        <f t="shared" ref="O21:O33" ca="1" si="3">+C$11+C$12*$F21</f>
        <v>3.9848128981013843E-2</v>
      </c>
      <c r="Q21" s="2">
        <f t="shared" ref="Q21:Q33" si="4">+C21-15018.5</f>
        <v>36384.625</v>
      </c>
    </row>
    <row r="22" spans="1:21">
      <c r="A22" s="45" t="s">
        <v>70</v>
      </c>
      <c r="B22" s="46" t="s">
        <v>44</v>
      </c>
      <c r="C22" s="45">
        <v>55367.824999999997</v>
      </c>
      <c r="D22" s="45" t="s">
        <v>63</v>
      </c>
      <c r="E22">
        <f t="shared" si="0"/>
        <v>14259.100080202257</v>
      </c>
      <c r="F22">
        <f t="shared" si="1"/>
        <v>14259</v>
      </c>
      <c r="G22">
        <f t="shared" si="2"/>
        <v>2.7826999998069368E-2</v>
      </c>
      <c r="I22">
        <f>+G22</f>
        <v>2.7826999998069368E-2</v>
      </c>
      <c r="O22">
        <f t="shared" ca="1" si="3"/>
        <v>3.9422789441169247E-2</v>
      </c>
      <c r="Q22" s="2">
        <f t="shared" si="4"/>
        <v>40349.324999999997</v>
      </c>
    </row>
    <row r="23" spans="1:21">
      <c r="A23" s="30" t="s">
        <v>41</v>
      </c>
      <c r="B23" s="31" t="s">
        <v>42</v>
      </c>
      <c r="C23" s="30">
        <v>56029.8606</v>
      </c>
      <c r="D23" s="30">
        <v>5.0000000000000001E-4</v>
      </c>
      <c r="E23">
        <f t="shared" si="0"/>
        <v>16640.120555157941</v>
      </c>
      <c r="F23">
        <f t="shared" si="1"/>
        <v>16640</v>
      </c>
      <c r="G23">
        <f t="shared" si="2"/>
        <v>3.3519999997224659E-2</v>
      </c>
      <c r="K23">
        <f>+G23</f>
        <v>3.3519999997224659E-2</v>
      </c>
      <c r="O23">
        <f t="shared" ca="1" si="3"/>
        <v>3.9351765284891108E-2</v>
      </c>
      <c r="Q23" s="2">
        <f t="shared" si="4"/>
        <v>41011.3606</v>
      </c>
    </row>
    <row r="24" spans="1:21">
      <c r="A24" s="47" t="s">
        <v>43</v>
      </c>
      <c r="B24" s="48" t="s">
        <v>44</v>
      </c>
      <c r="C24" s="49">
        <v>56060.444900000002</v>
      </c>
      <c r="D24" s="49">
        <v>2.0000000000000001E-4</v>
      </c>
      <c r="E24">
        <f t="shared" si="0"/>
        <v>16750.117426190543</v>
      </c>
      <c r="F24">
        <f t="shared" si="1"/>
        <v>16750</v>
      </c>
      <c r="G24">
        <f t="shared" si="2"/>
        <v>3.2650000001012813E-2</v>
      </c>
      <c r="J24">
        <f>+G24</f>
        <v>3.2650000001012813E-2</v>
      </c>
      <c r="O24">
        <f t="shared" ca="1" si="3"/>
        <v>3.9348484034496062E-2</v>
      </c>
      <c r="Q24" s="2">
        <f t="shared" si="4"/>
        <v>41041.944900000002</v>
      </c>
    </row>
    <row r="25" spans="1:21">
      <c r="A25" s="49" t="s">
        <v>45</v>
      </c>
      <c r="B25" s="48" t="s">
        <v>44</v>
      </c>
      <c r="C25" s="49">
        <v>56400.499900000003</v>
      </c>
      <c r="D25" s="49">
        <v>4.7999999999999996E-3</v>
      </c>
      <c r="E25">
        <f t="shared" si="0"/>
        <v>17973.13008232422</v>
      </c>
      <c r="F25">
        <f t="shared" si="1"/>
        <v>17973</v>
      </c>
      <c r="G25">
        <f t="shared" si="2"/>
        <v>3.6169000006339047E-2</v>
      </c>
      <c r="J25">
        <f>+G25</f>
        <v>3.6169000006339047E-2</v>
      </c>
      <c r="O25">
        <f t="shared" ca="1" si="3"/>
        <v>3.9312002496013E-2</v>
      </c>
      <c r="Q25" s="2">
        <f t="shared" si="4"/>
        <v>41381.999900000003</v>
      </c>
    </row>
    <row r="26" spans="1:21">
      <c r="A26" s="47" t="s">
        <v>46</v>
      </c>
      <c r="B26" s="48" t="s">
        <v>44</v>
      </c>
      <c r="C26" s="49">
        <v>56407.443670000001</v>
      </c>
      <c r="D26" s="49">
        <v>1E-4</v>
      </c>
      <c r="E26">
        <f t="shared" si="0"/>
        <v>17998.103450136132</v>
      </c>
      <c r="F26">
        <f t="shared" si="1"/>
        <v>17998</v>
      </c>
      <c r="G26">
        <f t="shared" si="2"/>
        <v>2.8764000002411194E-2</v>
      </c>
      <c r="K26">
        <f>+G26</f>
        <v>2.8764000002411194E-2</v>
      </c>
      <c r="O26">
        <f t="shared" ca="1" si="3"/>
        <v>3.9311256757286854E-2</v>
      </c>
      <c r="Q26" s="2">
        <f t="shared" si="4"/>
        <v>41388.943670000001</v>
      </c>
    </row>
    <row r="27" spans="1:21">
      <c r="A27" s="49" t="s">
        <v>49</v>
      </c>
      <c r="B27" s="48"/>
      <c r="C27" s="49">
        <v>56407.451789999999</v>
      </c>
      <c r="D27" s="49" t="s">
        <v>50</v>
      </c>
      <c r="E27">
        <f t="shared" si="0"/>
        <v>17998.132653831904</v>
      </c>
      <c r="F27">
        <f t="shared" si="1"/>
        <v>17998</v>
      </c>
      <c r="G27">
        <f t="shared" si="2"/>
        <v>3.6884000001009554E-2</v>
      </c>
      <c r="K27">
        <f>+G27</f>
        <v>3.6884000001009554E-2</v>
      </c>
      <c r="O27">
        <f t="shared" ca="1" si="3"/>
        <v>3.9311256757286854E-2</v>
      </c>
      <c r="Q27" s="2">
        <f t="shared" si="4"/>
        <v>41388.951789999999</v>
      </c>
    </row>
    <row r="28" spans="1:21">
      <c r="A28" s="50" t="s">
        <v>47</v>
      </c>
      <c r="B28" s="51" t="s">
        <v>44</v>
      </c>
      <c r="C28" s="50">
        <v>56745.421999999999</v>
      </c>
      <c r="D28" s="50">
        <v>8.0000000000000004E-4</v>
      </c>
      <c r="E28">
        <f t="shared" si="0"/>
        <v>19213.647333004847</v>
      </c>
      <c r="F28">
        <f t="shared" si="1"/>
        <v>19213.5</v>
      </c>
      <c r="G28">
        <f t="shared" si="2"/>
        <v>4.0965499996673316E-2</v>
      </c>
      <c r="J28">
        <f>+G28</f>
        <v>4.0965499996673316E-2</v>
      </c>
      <c r="O28">
        <f t="shared" ca="1" si="3"/>
        <v>3.9274998940421642E-2</v>
      </c>
      <c r="Q28" s="2">
        <f t="shared" si="4"/>
        <v>41726.921999999999</v>
      </c>
    </row>
    <row r="29" spans="1:21">
      <c r="A29" s="50" t="s">
        <v>47</v>
      </c>
      <c r="B29" s="51" t="s">
        <v>44</v>
      </c>
      <c r="C29" s="50">
        <v>56745.556900000003</v>
      </c>
      <c r="D29" s="50">
        <v>1.4E-3</v>
      </c>
      <c r="E29">
        <f t="shared" si="0"/>
        <v>19214.13250277832</v>
      </c>
      <c r="F29">
        <f t="shared" si="1"/>
        <v>19214</v>
      </c>
      <c r="G29">
        <f t="shared" si="2"/>
        <v>3.6842000001342967E-2</v>
      </c>
      <c r="J29">
        <f>+G29</f>
        <v>3.6842000001342967E-2</v>
      </c>
      <c r="O29">
        <f t="shared" ca="1" si="3"/>
        <v>3.9274984025647115E-2</v>
      </c>
      <c r="Q29" s="2">
        <f t="shared" si="4"/>
        <v>41727.056900000003</v>
      </c>
    </row>
    <row r="30" spans="1:21">
      <c r="A30" s="49" t="s">
        <v>51</v>
      </c>
      <c r="B30" s="48" t="s">
        <v>44</v>
      </c>
      <c r="C30" s="52">
        <v>56796.440089999996</v>
      </c>
      <c r="D30" s="49">
        <v>1E-4</v>
      </c>
      <c r="E30">
        <f t="shared" si="0"/>
        <v>19397.134621125195</v>
      </c>
      <c r="F30">
        <f t="shared" si="1"/>
        <v>19397</v>
      </c>
      <c r="G30">
        <f t="shared" si="2"/>
        <v>3.7430999997013714E-2</v>
      </c>
      <c r="K30">
        <f>+G30</f>
        <v>3.7430999997013714E-2</v>
      </c>
      <c r="O30">
        <f t="shared" ca="1" si="3"/>
        <v>3.926952521817173E-2</v>
      </c>
      <c r="Q30" s="2">
        <f t="shared" si="4"/>
        <v>41777.940089999996</v>
      </c>
    </row>
    <row r="31" spans="1:21">
      <c r="A31" s="49" t="s">
        <v>51</v>
      </c>
      <c r="B31" s="48" t="s">
        <v>52</v>
      </c>
      <c r="C31" s="52">
        <v>56827.444680000001</v>
      </c>
      <c r="D31" s="49">
        <v>1E-4</v>
      </c>
      <c r="E31">
        <f t="shared" si="0"/>
        <v>19508.643071135459</v>
      </c>
      <c r="F31">
        <f t="shared" si="1"/>
        <v>19508.5</v>
      </c>
      <c r="G31">
        <f t="shared" si="2"/>
        <v>3.9780500002962071E-2</v>
      </c>
      <c r="K31">
        <f>+G31</f>
        <v>3.9780500002962071E-2</v>
      </c>
      <c r="O31">
        <f t="shared" ca="1" si="3"/>
        <v>3.9266199223453119E-2</v>
      </c>
      <c r="Q31" s="2">
        <f t="shared" si="4"/>
        <v>41808.944680000001</v>
      </c>
    </row>
    <row r="32" spans="1:21">
      <c r="A32" s="50" t="s">
        <v>48</v>
      </c>
      <c r="B32" s="48"/>
      <c r="C32" s="50">
        <v>57066.703699999998</v>
      </c>
      <c r="D32" s="50">
        <v>1E-4</v>
      </c>
      <c r="E32">
        <f t="shared" si="0"/>
        <v>20369.141548011663</v>
      </c>
      <c r="F32">
        <f t="shared" si="1"/>
        <v>20369</v>
      </c>
      <c r="G32">
        <f t="shared" si="2"/>
        <v>3.9357000001473352E-2</v>
      </c>
      <c r="J32">
        <f>+G32</f>
        <v>3.9357000001473352E-2</v>
      </c>
      <c r="O32">
        <f t="shared" ca="1" si="3"/>
        <v>3.9240530896499176E-2</v>
      </c>
      <c r="Q32" s="2">
        <f t="shared" si="4"/>
        <v>42048.203699999998</v>
      </c>
    </row>
    <row r="33" spans="1:17">
      <c r="A33" s="49" t="s">
        <v>114</v>
      </c>
      <c r="B33" s="48"/>
      <c r="C33" s="49">
        <v>57123.4254</v>
      </c>
      <c r="D33" s="49">
        <v>1E-4</v>
      </c>
      <c r="E33">
        <f t="shared" si="0"/>
        <v>20573.141950821264</v>
      </c>
      <c r="F33">
        <f t="shared" si="1"/>
        <v>20573</v>
      </c>
      <c r="G33">
        <f t="shared" si="2"/>
        <v>3.9469000003009569E-2</v>
      </c>
      <c r="K33">
        <f>+G33</f>
        <v>3.9469000003009569E-2</v>
      </c>
      <c r="O33">
        <f t="shared" ca="1" si="3"/>
        <v>3.9234445668493823E-2</v>
      </c>
      <c r="Q33" s="2">
        <f t="shared" si="4"/>
        <v>42104.9254</v>
      </c>
    </row>
    <row r="34" spans="1:17">
      <c r="A34" s="53" t="s">
        <v>115</v>
      </c>
      <c r="B34" s="54" t="s">
        <v>44</v>
      </c>
      <c r="C34" s="55">
        <v>57128.4326</v>
      </c>
      <c r="D34" s="55">
        <v>1E-4</v>
      </c>
      <c r="E34">
        <f t="shared" ref="E34:E39" si="5">+(C34-C$7)/C$8</f>
        <v>20591.15041701583</v>
      </c>
      <c r="F34">
        <f t="shared" si="1"/>
        <v>20591</v>
      </c>
      <c r="G34">
        <f t="shared" ref="G34:G39" si="6">+C34-(C$7+F34*C$8)</f>
        <v>4.1822999999567401E-2</v>
      </c>
      <c r="K34">
        <f t="shared" ref="K34:K39" si="7">+G34</f>
        <v>4.1822999999567401E-2</v>
      </c>
      <c r="O34">
        <f t="shared" ref="O34:O39" ca="1" si="8">+C$11+C$12*$F34</f>
        <v>3.9233908736610999E-2</v>
      </c>
      <c r="Q34" s="2">
        <f t="shared" ref="Q34:Q39" si="9">+C34-15018.5</f>
        <v>42109.9326</v>
      </c>
    </row>
    <row r="35" spans="1:17">
      <c r="A35" s="53" t="s">
        <v>115</v>
      </c>
      <c r="B35" s="54" t="s">
        <v>52</v>
      </c>
      <c r="C35" s="55">
        <v>57154.429320000003</v>
      </c>
      <c r="D35" s="55">
        <v>2.0000000000000001E-4</v>
      </c>
      <c r="E35">
        <f t="shared" si="5"/>
        <v>20684.647991166974</v>
      </c>
      <c r="F35">
        <f t="shared" si="1"/>
        <v>20684.5</v>
      </c>
      <c r="G35">
        <f t="shared" si="6"/>
        <v>4.1148500000417698E-2</v>
      </c>
      <c r="K35">
        <f t="shared" si="7"/>
        <v>4.1148500000417698E-2</v>
      </c>
      <c r="O35">
        <f t="shared" ca="1" si="8"/>
        <v>3.9231119673775211E-2</v>
      </c>
      <c r="Q35" s="2">
        <f t="shared" si="9"/>
        <v>42135.929320000003</v>
      </c>
    </row>
    <row r="36" spans="1:17">
      <c r="A36" s="53" t="s">
        <v>115</v>
      </c>
      <c r="B36" s="54" t="s">
        <v>44</v>
      </c>
      <c r="C36" s="55">
        <v>57154.565970000003</v>
      </c>
      <c r="D36" s="55">
        <v>2.0000000000000001E-4</v>
      </c>
      <c r="E36">
        <f t="shared" si="5"/>
        <v>20685.13945484038</v>
      </c>
      <c r="F36">
        <f t="shared" si="1"/>
        <v>20685</v>
      </c>
      <c r="G36">
        <f t="shared" si="6"/>
        <v>3.8775000000896398E-2</v>
      </c>
      <c r="K36">
        <f t="shared" si="7"/>
        <v>3.8775000000896398E-2</v>
      </c>
      <c r="O36">
        <f t="shared" ca="1" si="8"/>
        <v>3.9231104759000691E-2</v>
      </c>
      <c r="Q36" s="2">
        <f t="shared" si="9"/>
        <v>42136.065970000003</v>
      </c>
    </row>
    <row r="37" spans="1:17">
      <c r="A37" s="53" t="s">
        <v>115</v>
      </c>
      <c r="B37" s="54" t="s">
        <v>44</v>
      </c>
      <c r="C37" s="55">
        <v>57180.424079999997</v>
      </c>
      <c r="D37" s="55">
        <v>1E-4</v>
      </c>
      <c r="E37">
        <f t="shared" si="5"/>
        <v>20778.138516150138</v>
      </c>
      <c r="F37">
        <f t="shared" si="1"/>
        <v>20778</v>
      </c>
      <c r="G37">
        <f t="shared" si="6"/>
        <v>3.8513999999850057E-2</v>
      </c>
      <c r="K37">
        <f t="shared" si="7"/>
        <v>3.8513999999850057E-2</v>
      </c>
      <c r="O37">
        <f t="shared" ca="1" si="8"/>
        <v>3.922833061093943E-2</v>
      </c>
      <c r="Q37" s="2">
        <f t="shared" si="9"/>
        <v>42161.924079999997</v>
      </c>
    </row>
    <row r="38" spans="1:17">
      <c r="A38" s="53" t="s">
        <v>115</v>
      </c>
      <c r="B38" s="54" t="s">
        <v>44</v>
      </c>
      <c r="C38" s="55">
        <v>57468.480210000002</v>
      </c>
      <c r="D38" s="55">
        <v>2.0000000000000001E-4</v>
      </c>
      <c r="E38">
        <f t="shared" si="5"/>
        <v>21814.13649490914</v>
      </c>
      <c r="F38">
        <f t="shared" si="1"/>
        <v>21814</v>
      </c>
      <c r="G38">
        <f t="shared" si="6"/>
        <v>3.795199999876786E-2</v>
      </c>
      <c r="K38">
        <f t="shared" si="7"/>
        <v>3.795199999876786E-2</v>
      </c>
      <c r="O38">
        <f t="shared" ca="1" si="8"/>
        <v>3.9197427198127938E-2</v>
      </c>
      <c r="Q38" s="2">
        <f t="shared" si="9"/>
        <v>42449.980210000002</v>
      </c>
    </row>
    <row r="39" spans="1:17">
      <c r="A39" s="53" t="s">
        <v>115</v>
      </c>
      <c r="B39" s="54" t="s">
        <v>52</v>
      </c>
      <c r="C39" s="55">
        <v>57519.503290000001</v>
      </c>
      <c r="D39" s="55">
        <v>2.0000000000000001E-4</v>
      </c>
      <c r="E39">
        <f t="shared" si="5"/>
        <v>21997.641729635641</v>
      </c>
      <c r="F39">
        <f t="shared" si="1"/>
        <v>21997.5</v>
      </c>
      <c r="G39">
        <f t="shared" si="6"/>
        <v>3.9407500000379514E-2</v>
      </c>
      <c r="K39">
        <f t="shared" si="7"/>
        <v>3.9407500000379514E-2</v>
      </c>
      <c r="O39">
        <f t="shared" ca="1" si="8"/>
        <v>3.9191953475878026E-2</v>
      </c>
      <c r="Q39" s="2">
        <f t="shared" si="9"/>
        <v>42501.003290000001</v>
      </c>
    </row>
    <row r="40" spans="1:17">
      <c r="A40" s="56" t="s">
        <v>116</v>
      </c>
      <c r="B40" s="57" t="s">
        <v>44</v>
      </c>
      <c r="C40" s="58">
        <v>57827.438949999865</v>
      </c>
      <c r="D40" s="58">
        <v>1E-4</v>
      </c>
      <c r="E40">
        <f>+(C40-C$7)/C$8</f>
        <v>23105.136721489049</v>
      </c>
      <c r="F40">
        <f t="shared" si="1"/>
        <v>23105</v>
      </c>
      <c r="G40">
        <f>+C40-(C$7+F40*C$8)</f>
        <v>3.8014999867300503E-2</v>
      </c>
      <c r="K40">
        <f>+G40</f>
        <v>3.8014999867300503E-2</v>
      </c>
      <c r="O40">
        <f ca="1">+C$11+C$12*$F40</f>
        <v>3.915891725030976E-2</v>
      </c>
      <c r="Q40" s="2">
        <f>+C40-15018.5</f>
        <v>42808.938949999865</v>
      </c>
    </row>
    <row r="41" spans="1:17">
      <c r="A41" s="56" t="s">
        <v>116</v>
      </c>
      <c r="B41" s="57" t="s">
        <v>52</v>
      </c>
      <c r="C41" s="58">
        <v>57863.447730000131</v>
      </c>
      <c r="D41" s="58">
        <v>1E-4</v>
      </c>
      <c r="E41">
        <f>+(C41-C$7)/C$8</f>
        <v>23234.642812186899</v>
      </c>
      <c r="F41">
        <f t="shared" si="1"/>
        <v>23234.5</v>
      </c>
      <c r="G41">
        <f>+C41-(C$7+F41*C$8)</f>
        <v>3.9708500131382607E-2</v>
      </c>
      <c r="K41">
        <f>+G41</f>
        <v>3.9708500131382607E-2</v>
      </c>
      <c r="O41">
        <f ca="1">+C$11+C$12*$F41</f>
        <v>3.9155054323708326E-2</v>
      </c>
      <c r="Q41" s="2">
        <f>+C41-15018.5</f>
        <v>42844.947730000131</v>
      </c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40:D41" name="Range1"/>
  </protectedRanges>
  <phoneticPr fontId="8" type="noConversion"/>
  <hyperlinks>
    <hyperlink ref="H2822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1"/>
  <sheetViews>
    <sheetView workbookViewId="0">
      <selection activeCell="A18" sqref="A18:D19"/>
    </sheetView>
  </sheetViews>
  <sheetFormatPr defaultRowHeight="12.75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32" t="s">
        <v>53</v>
      </c>
      <c r="I1" s="33" t="s">
        <v>54</v>
      </c>
      <c r="J1" s="34" t="s">
        <v>55</v>
      </c>
    </row>
    <row r="2" spans="1:16">
      <c r="I2" s="35" t="s">
        <v>56</v>
      </c>
      <c r="J2" s="36" t="s">
        <v>57</v>
      </c>
    </row>
    <row r="3" spans="1:16">
      <c r="A3" s="37" t="s">
        <v>58</v>
      </c>
      <c r="I3" s="35" t="s">
        <v>59</v>
      </c>
      <c r="J3" s="36" t="s">
        <v>60</v>
      </c>
    </row>
    <row r="4" spans="1:16">
      <c r="I4" s="35" t="s">
        <v>61</v>
      </c>
      <c r="J4" s="36" t="s">
        <v>60</v>
      </c>
    </row>
    <row r="5" spans="1:16" ht="13.5" thickBot="1">
      <c r="I5" s="38" t="s">
        <v>62</v>
      </c>
      <c r="J5" s="39" t="s">
        <v>63</v>
      </c>
    </row>
    <row r="10" spans="1:16" ht="13.5" thickBot="1"/>
    <row r="11" spans="1:16" ht="12.75" customHeight="1" thickBot="1">
      <c r="A11" s="8" t="str">
        <f t="shared" ref="A11:A19" si="0">P11</f>
        <v>IBVS 6029 </v>
      </c>
      <c r="B11" s="3" t="str">
        <f t="shared" ref="B11:B19" si="1">IF(H11=INT(H11),"I","II")</f>
        <v>I</v>
      </c>
      <c r="C11" s="8">
        <f t="shared" ref="C11:C19" si="2">1*G11</f>
        <v>56029.8606</v>
      </c>
      <c r="D11" s="10" t="str">
        <f t="shared" ref="D11:D19" si="3">VLOOKUP(F11,I$1:J$5,2,FALSE)</f>
        <v>vis</v>
      </c>
      <c r="E11" s="40">
        <f>VLOOKUP(C11,Active!C$21:E$973,3,FALSE)</f>
        <v>16640.120555157941</v>
      </c>
      <c r="F11" s="3" t="s">
        <v>62</v>
      </c>
      <c r="G11" s="10" t="str">
        <f t="shared" ref="G11:G19" si="4">MID(I11,3,LEN(I11)-3)</f>
        <v>56029.8606</v>
      </c>
      <c r="H11" s="8">
        <f t="shared" ref="H11:H19" si="5">1*K11</f>
        <v>16640</v>
      </c>
      <c r="I11" s="41" t="s">
        <v>71</v>
      </c>
      <c r="J11" s="42" t="s">
        <v>72</v>
      </c>
      <c r="K11" s="41">
        <v>16640</v>
      </c>
      <c r="L11" s="41" t="s">
        <v>73</v>
      </c>
      <c r="M11" s="42" t="s">
        <v>67</v>
      </c>
      <c r="N11" s="42" t="s">
        <v>62</v>
      </c>
      <c r="O11" s="43" t="s">
        <v>74</v>
      </c>
      <c r="P11" s="44" t="s">
        <v>75</v>
      </c>
    </row>
    <row r="12" spans="1:16" ht="12.75" customHeight="1" thickBot="1">
      <c r="A12" s="8" t="str">
        <f t="shared" si="0"/>
        <v>BAVM 231 </v>
      </c>
      <c r="B12" s="3" t="str">
        <f t="shared" si="1"/>
        <v>I</v>
      </c>
      <c r="C12" s="8">
        <f t="shared" si="2"/>
        <v>56060.444900000002</v>
      </c>
      <c r="D12" s="10" t="str">
        <f t="shared" si="3"/>
        <v>vis</v>
      </c>
      <c r="E12" s="40">
        <f>VLOOKUP(C12,Active!C$21:E$973,3,FALSE)</f>
        <v>16750.117426190543</v>
      </c>
      <c r="F12" s="3" t="s">
        <v>62</v>
      </c>
      <c r="G12" s="10" t="str">
        <f t="shared" si="4"/>
        <v>56060.4449</v>
      </c>
      <c r="H12" s="8">
        <f t="shared" si="5"/>
        <v>16750</v>
      </c>
      <c r="I12" s="41" t="s">
        <v>76</v>
      </c>
      <c r="J12" s="42" t="s">
        <v>77</v>
      </c>
      <c r="K12" s="41">
        <v>16750</v>
      </c>
      <c r="L12" s="41" t="s">
        <v>78</v>
      </c>
      <c r="M12" s="42" t="s">
        <v>67</v>
      </c>
      <c r="N12" s="42" t="s">
        <v>79</v>
      </c>
      <c r="O12" s="43" t="s">
        <v>80</v>
      </c>
      <c r="P12" s="44" t="s">
        <v>81</v>
      </c>
    </row>
    <row r="13" spans="1:16" ht="12.75" customHeight="1" thickBot="1">
      <c r="A13" s="8" t="str">
        <f t="shared" si="0"/>
        <v>BAVM 232 </v>
      </c>
      <c r="B13" s="3" t="str">
        <f t="shared" si="1"/>
        <v>I</v>
      </c>
      <c r="C13" s="8">
        <f t="shared" si="2"/>
        <v>56400.499900000003</v>
      </c>
      <c r="D13" s="10" t="str">
        <f t="shared" si="3"/>
        <v>vis</v>
      </c>
      <c r="E13" s="40">
        <f>VLOOKUP(C13,Active!C$21:E$973,3,FALSE)</f>
        <v>17973.13008232422</v>
      </c>
      <c r="F13" s="3" t="s">
        <v>62</v>
      </c>
      <c r="G13" s="10" t="str">
        <f t="shared" si="4"/>
        <v>56400.4999</v>
      </c>
      <c r="H13" s="8">
        <f t="shared" si="5"/>
        <v>17973</v>
      </c>
      <c r="I13" s="41" t="s">
        <v>82</v>
      </c>
      <c r="J13" s="42" t="s">
        <v>83</v>
      </c>
      <c r="K13" s="41" t="s">
        <v>84</v>
      </c>
      <c r="L13" s="41" t="s">
        <v>85</v>
      </c>
      <c r="M13" s="42" t="s">
        <v>67</v>
      </c>
      <c r="N13" s="42" t="s">
        <v>79</v>
      </c>
      <c r="O13" s="43" t="s">
        <v>86</v>
      </c>
      <c r="P13" s="44" t="s">
        <v>87</v>
      </c>
    </row>
    <row r="14" spans="1:16" ht="12.75" customHeight="1" thickBot="1">
      <c r="A14" s="8" t="str">
        <f t="shared" si="0"/>
        <v>OEJV 0160 </v>
      </c>
      <c r="B14" s="3" t="str">
        <f t="shared" si="1"/>
        <v>I</v>
      </c>
      <c r="C14" s="8">
        <f t="shared" si="2"/>
        <v>56407.443670000001</v>
      </c>
      <c r="D14" s="10" t="str">
        <f t="shared" si="3"/>
        <v>vis</v>
      </c>
      <c r="E14" s="40">
        <f>VLOOKUP(C14,Active!C$21:E$973,3,FALSE)</f>
        <v>17998.103450136132</v>
      </c>
      <c r="F14" s="3" t="s">
        <v>62</v>
      </c>
      <c r="G14" s="10" t="str">
        <f t="shared" si="4"/>
        <v>56407.44367</v>
      </c>
      <c r="H14" s="8">
        <f t="shared" si="5"/>
        <v>17998</v>
      </c>
      <c r="I14" s="41" t="s">
        <v>88</v>
      </c>
      <c r="J14" s="42" t="s">
        <v>89</v>
      </c>
      <c r="K14" s="41" t="s">
        <v>90</v>
      </c>
      <c r="L14" s="41" t="s">
        <v>91</v>
      </c>
      <c r="M14" s="42" t="s">
        <v>67</v>
      </c>
      <c r="N14" s="42" t="s">
        <v>54</v>
      </c>
      <c r="O14" s="43" t="s">
        <v>92</v>
      </c>
      <c r="P14" s="44" t="s">
        <v>93</v>
      </c>
    </row>
    <row r="15" spans="1:16" ht="12.75" customHeight="1" thickBot="1">
      <c r="A15" s="8" t="str">
        <f t="shared" si="0"/>
        <v>BAVM 238 </v>
      </c>
      <c r="B15" s="3" t="str">
        <f t="shared" si="1"/>
        <v>II</v>
      </c>
      <c r="C15" s="8">
        <f t="shared" si="2"/>
        <v>56745.421999999999</v>
      </c>
      <c r="D15" s="10" t="str">
        <f t="shared" si="3"/>
        <v>vis</v>
      </c>
      <c r="E15" s="40">
        <f>VLOOKUP(C15,Active!C$21:E$973,3,FALSE)</f>
        <v>19213.647333004847</v>
      </c>
      <c r="F15" s="3" t="s">
        <v>62</v>
      </c>
      <c r="G15" s="10" t="str">
        <f t="shared" si="4"/>
        <v>56745.4220</v>
      </c>
      <c r="H15" s="8">
        <f t="shared" si="5"/>
        <v>19213.5</v>
      </c>
      <c r="I15" s="41" t="s">
        <v>94</v>
      </c>
      <c r="J15" s="42" t="s">
        <v>95</v>
      </c>
      <c r="K15" s="41" t="s">
        <v>96</v>
      </c>
      <c r="L15" s="41" t="s">
        <v>97</v>
      </c>
      <c r="M15" s="42" t="s">
        <v>67</v>
      </c>
      <c r="N15" s="42" t="s">
        <v>79</v>
      </c>
      <c r="O15" s="43" t="s">
        <v>86</v>
      </c>
      <c r="P15" s="44" t="s">
        <v>98</v>
      </c>
    </row>
    <row r="16" spans="1:16" ht="12.75" customHeight="1" thickBot="1">
      <c r="A16" s="8" t="str">
        <f t="shared" si="0"/>
        <v>BAVM 238 </v>
      </c>
      <c r="B16" s="3" t="str">
        <f t="shared" si="1"/>
        <v>I</v>
      </c>
      <c r="C16" s="8">
        <f t="shared" si="2"/>
        <v>56745.556900000003</v>
      </c>
      <c r="D16" s="10" t="str">
        <f t="shared" si="3"/>
        <v>vis</v>
      </c>
      <c r="E16" s="40">
        <f>VLOOKUP(C16,Active!C$21:E$973,3,FALSE)</f>
        <v>19214.13250277832</v>
      </c>
      <c r="F16" s="3" t="s">
        <v>62</v>
      </c>
      <c r="G16" s="10" t="str">
        <f t="shared" si="4"/>
        <v>56745.5569</v>
      </c>
      <c r="H16" s="8">
        <f t="shared" si="5"/>
        <v>19214</v>
      </c>
      <c r="I16" s="41" t="s">
        <v>99</v>
      </c>
      <c r="J16" s="42" t="s">
        <v>100</v>
      </c>
      <c r="K16" s="41" t="s">
        <v>101</v>
      </c>
      <c r="L16" s="41" t="s">
        <v>102</v>
      </c>
      <c r="M16" s="42" t="s">
        <v>67</v>
      </c>
      <c r="N16" s="42" t="s">
        <v>79</v>
      </c>
      <c r="O16" s="43" t="s">
        <v>86</v>
      </c>
      <c r="P16" s="44" t="s">
        <v>98</v>
      </c>
    </row>
    <row r="17" spans="1:16" ht="12.75" customHeight="1" thickBot="1">
      <c r="A17" s="8" t="str">
        <f t="shared" si="0"/>
        <v>BAVM 239 </v>
      </c>
      <c r="B17" s="3" t="str">
        <f t="shared" si="1"/>
        <v>I</v>
      </c>
      <c r="C17" s="8">
        <f t="shared" si="2"/>
        <v>57066.703699999998</v>
      </c>
      <c r="D17" s="10" t="str">
        <f t="shared" si="3"/>
        <v>vis</v>
      </c>
      <c r="E17" s="40">
        <f>VLOOKUP(C17,Active!C$21:E$973,3,FALSE)</f>
        <v>20369.141548011663</v>
      </c>
      <c r="F17" s="3" t="s">
        <v>62</v>
      </c>
      <c r="G17" s="10" t="str">
        <f t="shared" si="4"/>
        <v>57066.7037</v>
      </c>
      <c r="H17" s="8">
        <f t="shared" si="5"/>
        <v>20369</v>
      </c>
      <c r="I17" s="41" t="s">
        <v>103</v>
      </c>
      <c r="J17" s="42" t="s">
        <v>104</v>
      </c>
      <c r="K17" s="41" t="s">
        <v>105</v>
      </c>
      <c r="L17" s="41" t="s">
        <v>106</v>
      </c>
      <c r="M17" s="42" t="s">
        <v>67</v>
      </c>
      <c r="N17" s="42" t="s">
        <v>68</v>
      </c>
      <c r="O17" s="43" t="s">
        <v>107</v>
      </c>
      <c r="P17" s="44" t="s">
        <v>108</v>
      </c>
    </row>
    <row r="18" spans="1:16" ht="12.75" customHeight="1" thickBot="1">
      <c r="A18" s="8" t="str">
        <f t="shared" si="0"/>
        <v>OEJV 0162 </v>
      </c>
      <c r="B18" s="3" t="str">
        <f t="shared" si="1"/>
        <v>I</v>
      </c>
      <c r="C18" s="8">
        <f t="shared" si="2"/>
        <v>55367.824999999997</v>
      </c>
      <c r="D18" s="10" t="str">
        <f t="shared" si="3"/>
        <v>vis</v>
      </c>
      <c r="E18" s="40">
        <f>VLOOKUP(C18,Active!C$21:E$973,3,FALSE)</f>
        <v>14259.100080202257</v>
      </c>
      <c r="F18" s="3" t="s">
        <v>62</v>
      </c>
      <c r="G18" s="10" t="str">
        <f t="shared" si="4"/>
        <v>55367.825</v>
      </c>
      <c r="H18" s="8">
        <f t="shared" si="5"/>
        <v>14259</v>
      </c>
      <c r="I18" s="41" t="s">
        <v>64</v>
      </c>
      <c r="J18" s="42" t="s">
        <v>65</v>
      </c>
      <c r="K18" s="41">
        <v>14259</v>
      </c>
      <c r="L18" s="41" t="s">
        <v>66</v>
      </c>
      <c r="M18" s="42" t="s">
        <v>67</v>
      </c>
      <c r="N18" s="42" t="s">
        <v>68</v>
      </c>
      <c r="O18" s="43" t="s">
        <v>69</v>
      </c>
      <c r="P18" s="44" t="s">
        <v>70</v>
      </c>
    </row>
    <row r="19" spans="1:16" ht="12.75" customHeight="1" thickBot="1">
      <c r="A19" s="8" t="str">
        <f t="shared" si="0"/>
        <v>BAVM 241 (=IBVS 6157) </v>
      </c>
      <c r="B19" s="3" t="str">
        <f t="shared" si="1"/>
        <v>I</v>
      </c>
      <c r="C19" s="8">
        <f t="shared" si="2"/>
        <v>57123.4254</v>
      </c>
      <c r="D19" s="10" t="str">
        <f t="shared" si="3"/>
        <v>vis</v>
      </c>
      <c r="E19" s="40">
        <f>VLOOKUP(C19,Active!C$21:E$973,3,FALSE)</f>
        <v>20573.141950821264</v>
      </c>
      <c r="F19" s="3" t="s">
        <v>62</v>
      </c>
      <c r="G19" s="10" t="str">
        <f t="shared" si="4"/>
        <v>57123.4254</v>
      </c>
      <c r="H19" s="8">
        <f t="shared" si="5"/>
        <v>20573</v>
      </c>
      <c r="I19" s="41" t="s">
        <v>109</v>
      </c>
      <c r="J19" s="42" t="s">
        <v>110</v>
      </c>
      <c r="K19" s="41" t="s">
        <v>111</v>
      </c>
      <c r="L19" s="41" t="s">
        <v>112</v>
      </c>
      <c r="M19" s="42" t="s">
        <v>67</v>
      </c>
      <c r="N19" s="42" t="s">
        <v>68</v>
      </c>
      <c r="O19" s="43" t="s">
        <v>107</v>
      </c>
      <c r="P19" s="44" t="s">
        <v>113</v>
      </c>
    </row>
    <row r="20" spans="1:16">
      <c r="B20" s="3"/>
      <c r="E20" s="40"/>
      <c r="F20" s="3"/>
    </row>
    <row r="21" spans="1:16">
      <c r="B21" s="3"/>
      <c r="E21" s="40"/>
      <c r="F21" s="3"/>
    </row>
    <row r="22" spans="1:16">
      <c r="B22" s="3"/>
      <c r="E22" s="40"/>
      <c r="F22" s="3"/>
    </row>
    <row r="23" spans="1:16">
      <c r="B23" s="3"/>
      <c r="E23" s="40"/>
      <c r="F23" s="3"/>
    </row>
    <row r="24" spans="1:16">
      <c r="B24" s="3"/>
      <c r="F24" s="3"/>
    </row>
    <row r="25" spans="1:16">
      <c r="B25" s="3"/>
      <c r="F25" s="3"/>
    </row>
    <row r="26" spans="1:16">
      <c r="B26" s="3"/>
      <c r="F26" s="3"/>
    </row>
    <row r="27" spans="1:16">
      <c r="B27" s="3"/>
      <c r="F27" s="3"/>
    </row>
    <row r="28" spans="1:16">
      <c r="B28" s="3"/>
      <c r="F28" s="3"/>
    </row>
    <row r="29" spans="1:16">
      <c r="B29" s="3"/>
      <c r="F29" s="3"/>
    </row>
    <row r="30" spans="1:16">
      <c r="B30" s="3"/>
      <c r="F30" s="3"/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</sheetData>
  <phoneticPr fontId="8" type="noConversion"/>
  <hyperlinks>
    <hyperlink ref="A3" r:id="rId1"/>
    <hyperlink ref="P18" r:id="rId2" display="http://var.astro.cz/oejv/issues/oejv0162.pdf"/>
    <hyperlink ref="P11" r:id="rId3" display="http://www.konkoly.hu/cgi-bin/IBVS?6029"/>
    <hyperlink ref="P12" r:id="rId4" display="http://www.bav-astro.de/sfs/BAVM_link.php?BAVMnr=231"/>
    <hyperlink ref="P13" r:id="rId5" display="http://www.bav-astro.de/sfs/BAVM_link.php?BAVMnr=232"/>
    <hyperlink ref="P14" r:id="rId6" display="http://var.astro.cz/oejv/issues/oejv0160.pdf"/>
    <hyperlink ref="P15" r:id="rId7" display="http://www.bav-astro.de/sfs/BAVM_link.php?BAVMnr=238"/>
    <hyperlink ref="P16" r:id="rId8" display="http://www.bav-astro.de/sfs/BAVM_link.php?BAVMnr=238"/>
    <hyperlink ref="P17" r:id="rId9" display="http://www.bav-astro.de/sfs/BAVM_link.php?BAVMnr=239"/>
    <hyperlink ref="P19" r:id="rId10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2024-01-15T05:05:34Z</dcterms:modified>
</cp:coreProperties>
</file>