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47436CF-20E5-4205-83EC-31016A9478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3" i="1" l="1"/>
  <c r="F43" i="1" s="1"/>
  <c r="G43" i="1" s="1"/>
  <c r="K43" i="1" s="1"/>
  <c r="E25" i="1"/>
  <c r="F25" i="1"/>
  <c r="G25" i="1" s="1"/>
  <c r="I25" i="1" s="1"/>
  <c r="E44" i="1"/>
  <c r="F44" i="1" s="1"/>
  <c r="G44" i="1" s="1"/>
  <c r="K44" i="1" s="1"/>
  <c r="E48" i="1"/>
  <c r="F48" i="1"/>
  <c r="G48" i="1" s="1"/>
  <c r="K48" i="1" s="1"/>
  <c r="D9" i="1"/>
  <c r="C9" i="1"/>
  <c r="Q41" i="1"/>
  <c r="Q42" i="1"/>
  <c r="Q43" i="1"/>
  <c r="Q44" i="1"/>
  <c r="Q45" i="1"/>
  <c r="Q46" i="1"/>
  <c r="Q47" i="1"/>
  <c r="Q48" i="1"/>
  <c r="E22" i="1"/>
  <c r="F22" i="1" s="1"/>
  <c r="G22" i="1" s="1"/>
  <c r="I22" i="1" s="1"/>
  <c r="E23" i="1"/>
  <c r="F23" i="1" s="1"/>
  <c r="G23" i="1" s="1"/>
  <c r="I23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8" i="1"/>
  <c r="F38" i="1" s="1"/>
  <c r="G38" i="1" s="1"/>
  <c r="I38" i="1" s="1"/>
  <c r="E29" i="1"/>
  <c r="F29" i="1" s="1"/>
  <c r="G29" i="1" s="1"/>
  <c r="I29" i="1" s="1"/>
  <c r="Q21" i="1"/>
  <c r="Q22" i="1"/>
  <c r="Q23" i="1"/>
  <c r="Q24" i="1"/>
  <c r="Q25" i="1"/>
  <c r="Q26" i="1"/>
  <c r="Q27" i="1"/>
  <c r="Q28" i="1"/>
  <c r="Q30" i="1"/>
  <c r="Q31" i="1"/>
  <c r="Q32" i="1"/>
  <c r="Q33" i="1"/>
  <c r="Q34" i="1"/>
  <c r="Q35" i="1"/>
  <c r="Q36" i="1"/>
  <c r="Q37" i="1"/>
  <c r="Q38" i="1"/>
  <c r="G11" i="2"/>
  <c r="C11" i="2"/>
  <c r="G28" i="2"/>
  <c r="C28" i="2"/>
  <c r="E28" i="2"/>
  <c r="G27" i="2"/>
  <c r="C27" i="2"/>
  <c r="G26" i="2"/>
  <c r="C26" i="2"/>
  <c r="G25" i="2"/>
  <c r="C25" i="2"/>
  <c r="G24" i="2"/>
  <c r="C24" i="2"/>
  <c r="G23" i="2"/>
  <c r="C23" i="2"/>
  <c r="E23" i="2"/>
  <c r="G22" i="2"/>
  <c r="C22" i="2"/>
  <c r="E22" i="2"/>
  <c r="G21" i="2"/>
  <c r="C21" i="2"/>
  <c r="E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E14" i="2"/>
  <c r="G13" i="2"/>
  <c r="C13" i="2"/>
  <c r="E13" i="2"/>
  <c r="G12" i="2"/>
  <c r="C12" i="2"/>
  <c r="H11" i="2"/>
  <c r="B11" i="2"/>
  <c r="D11" i="2"/>
  <c r="A11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Q39" i="1"/>
  <c r="Q40" i="1"/>
  <c r="F16" i="1"/>
  <c r="C17" i="1"/>
  <c r="Q29" i="1"/>
  <c r="E16" i="2"/>
  <c r="E36" i="1"/>
  <c r="F36" i="1" s="1"/>
  <c r="G36" i="1" s="1"/>
  <c r="I36" i="1" s="1"/>
  <c r="E27" i="1"/>
  <c r="E18" i="2" s="1"/>
  <c r="E39" i="1"/>
  <c r="F39" i="1" s="1"/>
  <c r="G39" i="1" s="1"/>
  <c r="K39" i="1" s="1"/>
  <c r="E46" i="1"/>
  <c r="F46" i="1" s="1"/>
  <c r="G46" i="1" s="1"/>
  <c r="K46" i="1" s="1"/>
  <c r="E42" i="1"/>
  <c r="F42" i="1" s="1"/>
  <c r="G42" i="1" s="1"/>
  <c r="K42" i="1" s="1"/>
  <c r="E24" i="1"/>
  <c r="F24" i="1" s="1"/>
  <c r="G24" i="1" s="1"/>
  <c r="I24" i="1" s="1"/>
  <c r="E30" i="1"/>
  <c r="E20" i="2" s="1"/>
  <c r="E45" i="1"/>
  <c r="F45" i="1" s="1"/>
  <c r="G45" i="1" s="1"/>
  <c r="K45" i="1" s="1"/>
  <c r="E35" i="1"/>
  <c r="F35" i="1" s="1"/>
  <c r="G35" i="1" s="1"/>
  <c r="I35" i="1" s="1"/>
  <c r="E26" i="1"/>
  <c r="F26" i="1" s="1"/>
  <c r="G26" i="1" s="1"/>
  <c r="I26" i="1" s="1"/>
  <c r="E21" i="1"/>
  <c r="F21" i="1" s="1"/>
  <c r="G21" i="1" s="1"/>
  <c r="I21" i="1" s="1"/>
  <c r="E41" i="1"/>
  <c r="F41" i="1" s="1"/>
  <c r="G41" i="1" s="1"/>
  <c r="K41" i="1" s="1"/>
  <c r="E37" i="1"/>
  <c r="E27" i="2" s="1"/>
  <c r="F37" i="1"/>
  <c r="G37" i="1" s="1"/>
  <c r="I37" i="1" s="1"/>
  <c r="E28" i="1"/>
  <c r="E19" i="2" s="1"/>
  <c r="E34" i="1"/>
  <c r="F34" i="1"/>
  <c r="G34" i="1" s="1"/>
  <c r="I34" i="1" s="1"/>
  <c r="E40" i="1"/>
  <c r="F40" i="1" s="1"/>
  <c r="G40" i="1" s="1"/>
  <c r="K40" i="1" s="1"/>
  <c r="E47" i="1"/>
  <c r="F47" i="1"/>
  <c r="G47" i="1" s="1"/>
  <c r="K47" i="1" s="1"/>
  <c r="E24" i="2"/>
  <c r="E15" i="2"/>
  <c r="E17" i="2"/>
  <c r="E26" i="2"/>
  <c r="E11" i="2"/>
  <c r="F28" i="1" l="1"/>
  <c r="G28" i="1" s="1"/>
  <c r="I28" i="1" s="1"/>
  <c r="E12" i="2"/>
  <c r="E25" i="2"/>
  <c r="F30" i="1"/>
  <c r="G30" i="1" s="1"/>
  <c r="I30" i="1" s="1"/>
  <c r="F27" i="1"/>
  <c r="G27" i="1" s="1"/>
  <c r="F17" i="1"/>
  <c r="C12" i="1"/>
  <c r="C11" i="1"/>
  <c r="O26" i="1" l="1"/>
  <c r="O30" i="1"/>
  <c r="O47" i="1"/>
  <c r="O48" i="1"/>
  <c r="O45" i="1"/>
  <c r="O33" i="1"/>
  <c r="C15" i="1"/>
  <c r="F18" i="1" s="1"/>
  <c r="O37" i="1"/>
  <c r="O24" i="1"/>
  <c r="O28" i="1"/>
  <c r="O46" i="1"/>
  <c r="O44" i="1"/>
  <c r="O31" i="1"/>
  <c r="O40" i="1"/>
  <c r="O27" i="1"/>
  <c r="O22" i="1"/>
  <c r="O25" i="1"/>
  <c r="O34" i="1"/>
  <c r="O29" i="1"/>
  <c r="O42" i="1"/>
  <c r="O43" i="1"/>
  <c r="O32" i="1"/>
  <c r="O21" i="1"/>
  <c r="O36" i="1"/>
  <c r="O23" i="1"/>
  <c r="O39" i="1"/>
  <c r="O38" i="1"/>
  <c r="O35" i="1"/>
  <c r="O41" i="1"/>
  <c r="C16" i="1"/>
  <c r="D18" i="1" s="1"/>
  <c r="I27" i="1"/>
  <c r="F19" i="1" l="1"/>
  <c r="C18" i="1"/>
</calcChain>
</file>

<file path=xl/sharedStrings.xml><?xml version="1.0" encoding="utf-8"?>
<sst xmlns="http://schemas.openxmlformats.org/spreadsheetml/2006/main" count="263" uniqueCount="116">
  <si>
    <t>VSB 060</t>
  </si>
  <si>
    <t>IBVS 6196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</si>
  <si>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</si>
  <si>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</si>
  <si>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</si>
  <si>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</si>
  <si>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</si>
  <si>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</si>
  <si>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</si>
  <si>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</si>
  <si>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</si>
  <si>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</si>
  <si>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</si>
  <si>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</si>
  <si>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</si>
  <si>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</si>
  <si>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</si>
  <si>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</si>
  <si>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</si>
  <si>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</si>
  <si>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</si>
  <si>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</si>
  <si>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</si>
  <si>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</si>
  <si>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</si>
  <si>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</si>
  <si>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</si>
  <si>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</si>
  <si>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</si>
  <si>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</si>
  <si>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</si>
  <si>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</si>
  <si>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</si>
  <si>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</si>
  <si>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</si>
  <si>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</si>
  <si>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</si>
  <si>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</si>
  <si>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</si>
  <si>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</si>
  <si>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</si>
  <si>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</si>
  <si>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</si>
  <si>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</si>
  <si>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CM CMa</t>
  </si>
  <si>
    <t>G5968-3041</t>
  </si>
  <si>
    <t>EB</t>
  </si>
  <si>
    <t>CM CMa / GSC 5968-3041</t>
  </si>
  <si>
    <t>Malkov</t>
  </si>
  <si>
    <t>GCVS</t>
  </si>
  <si>
    <t>IBVS 6152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</si>
  <si>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</si>
  <si>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</si>
  <si>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</si>
  <si>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</si>
  <si>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</si>
  <si>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</si>
  <si>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</si>
  <si>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2427429.366 </t>
  </si>
  <si>
    <t> 22.12.1933 20:47 </t>
  </si>
  <si>
    <t> 0.065 </t>
  </si>
  <si>
    <t>P </t>
  </si>
  <si>
    <t> A.van Hoof </t>
  </si>
  <si>
    <t> PLOU 109.15 </t>
  </si>
  <si>
    <t>2427446.364 </t>
  </si>
  <si>
    <t> 08.01.1934 20:44 </t>
  </si>
  <si>
    <t> 0.074 </t>
  </si>
  <si>
    <t>2427514.316 </t>
  </si>
  <si>
    <t> 17.03.1934 19:35 </t>
  </si>
  <si>
    <t> 0.068 </t>
  </si>
  <si>
    <t>2427547.232 </t>
  </si>
  <si>
    <t> 19.04.1934 17:34 </t>
  </si>
  <si>
    <t> 0.067 </t>
  </si>
  <si>
    <t>2427690.594 </t>
  </si>
  <si>
    <t> 10.09.1934 02:15 </t>
  </si>
  <si>
    <t> 0.080 </t>
  </si>
  <si>
    <t>2427723.499 </t>
  </si>
  <si>
    <t> 12.10.1934 23:58 </t>
  </si>
  <si>
    <t>2427865.260 </t>
  </si>
  <si>
    <t> 03.03.1935 18:14 </t>
  </si>
  <si>
    <t> 0.073 </t>
  </si>
  <si>
    <t>2427891.278 </t>
  </si>
  <si>
    <t> 29.03.1935 18:40 </t>
  </si>
  <si>
    <t> 0.076 </t>
  </si>
  <si>
    <t>2428133.369 </t>
  </si>
  <si>
    <t> 26.11.1935 20:51 </t>
  </si>
  <si>
    <t>2428159.419 </t>
  </si>
  <si>
    <t> 22.12.1935 22:03 </t>
  </si>
  <si>
    <t> 0.102 </t>
  </si>
  <si>
    <t>2428167.345 </t>
  </si>
  <si>
    <t> 30.12.1935 20:16 </t>
  </si>
  <si>
    <t>2428184.357 </t>
  </si>
  <si>
    <t> 16.01.1936 20:34 </t>
  </si>
  <si>
    <t> 0.087 </t>
  </si>
  <si>
    <t>2428436.548 </t>
  </si>
  <si>
    <t> 25.09.1936 01:09 </t>
  </si>
  <si>
    <t> 0.091 </t>
  </si>
  <si>
    <t>2428572.450 </t>
  </si>
  <si>
    <t> 07.02.1937 22:48 </t>
  </si>
  <si>
    <t> 0.077 </t>
  </si>
  <si>
    <t>2428595.267 </t>
  </si>
  <si>
    <t> 02.03.1937 18:24 </t>
  </si>
  <si>
    <t>2428603.248 </t>
  </si>
  <si>
    <t> 10.03.1937 17:57 </t>
  </si>
  <si>
    <t> 0.082 </t>
  </si>
  <si>
    <t>2429577.466 </t>
  </si>
  <si>
    <t> 09.11.1939 23:11 </t>
  </si>
  <si>
    <t> 0.061 </t>
  </si>
  <si>
    <t>2457000.0486 </t>
  </si>
  <si>
    <t> 08.12.2014 13:09 </t>
  </si>
  <si>
    <t> 0.0686 </t>
  </si>
  <si>
    <t>C </t>
  </si>
  <si>
    <t> W.Moschner &amp; P.Frank </t>
  </si>
  <si>
    <t>BAVM 239 </t>
  </si>
  <si>
    <t>I</t>
  </si>
  <si>
    <t>VSB_061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</si>
</sst>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4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7" fillId="24" borderId="5" xfId="0" applyFont="1" applyFill="1" applyBorder="1" applyAlignment="1">
      <alignment vertical="center"/>
    </xf>
    <xf numFmtId="0" fontId="19" fillId="0" borderId="5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17" fillId="25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2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6" borderId="17" xfId="0" applyFont="1" applyFill="1" applyBorder="1" applyAlignment="1">
      <alignment horizontal="left" vertical="top" wrapText="1" indent="1"/>
    </xf>
    <xf numFmtId="0" fontId="5" fillId="26" borderId="17" xfId="0" applyFont="1" applyFill="1" applyBorder="1" applyAlignment="1">
      <alignment horizontal="center" vertical="top" wrapText="1"/>
    </xf>
    <xf numFmtId="0" fontId="5" fillId="26" borderId="17" xfId="0" applyFont="1" applyFill="1" applyBorder="1" applyAlignment="1">
      <alignment horizontal="right" vertical="top" wrapText="1"/>
    </xf>
    <xf numFmtId="0" fontId="22" fillId="26" borderId="17" xfId="38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6" fillId="0" borderId="0" xfId="42" applyAlignment="1">
      <alignment horizontal="left"/>
    </xf>
    <xf numFmtId="0" fontId="39" fillId="0" borderId="0" xfId="42" applyFont="1" applyAlignment="1">
      <alignment wrapText="1"/>
    </xf>
    <xf numFmtId="0" fontId="39" fillId="0" borderId="0" xfId="42" applyFont="1" applyAlignment="1">
      <alignment horizontal="center" wrapText="1"/>
    </xf>
    <xf numFmtId="0" fontId="39" fillId="0" borderId="0" xfId="42" applyFont="1" applyAlignment="1">
      <alignment horizontal="left" wrapText="1"/>
    </xf>
    <xf numFmtId="0" fontId="39" fillId="0" borderId="0" xfId="42" applyFont="1" applyAlignment="1">
      <alignment horizontal="left"/>
    </xf>
    <xf numFmtId="0" fontId="39" fillId="0" borderId="0" xfId="42" applyFont="1" applyAlignment="1">
      <alignment horizontal="center"/>
    </xf>
    <xf numFmtId="0" fontId="0" fillId="0" borderId="0" xfId="0" applyAlignment="1">
      <alignment horizontal="right"/>
    </xf>
    <xf numFmtId="0" fontId="39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CMa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-1259</c:v>
                </c:pt>
                <c:pt idx="1">
                  <c:v>-1227</c:v>
                </c:pt>
                <c:pt idx="2">
                  <c:v>-1099</c:v>
                </c:pt>
                <c:pt idx="3">
                  <c:v>-1037</c:v>
                </c:pt>
                <c:pt idx="4">
                  <c:v>-767</c:v>
                </c:pt>
                <c:pt idx="5">
                  <c:v>-705</c:v>
                </c:pt>
                <c:pt idx="6">
                  <c:v>-438</c:v>
                </c:pt>
                <c:pt idx="7">
                  <c:v>-389</c:v>
                </c:pt>
                <c:pt idx="8">
                  <c:v>0</c:v>
                </c:pt>
                <c:pt idx="9">
                  <c:v>67</c:v>
                </c:pt>
                <c:pt idx="10">
                  <c:v>116</c:v>
                </c:pt>
                <c:pt idx="11">
                  <c:v>131</c:v>
                </c:pt>
                <c:pt idx="12">
                  <c:v>163</c:v>
                </c:pt>
                <c:pt idx="13">
                  <c:v>638</c:v>
                </c:pt>
                <c:pt idx="14">
                  <c:v>894</c:v>
                </c:pt>
                <c:pt idx="15">
                  <c:v>937</c:v>
                </c:pt>
                <c:pt idx="16">
                  <c:v>952</c:v>
                </c:pt>
                <c:pt idx="17">
                  <c:v>2787</c:v>
                </c:pt>
                <c:pt idx="18">
                  <c:v>49847</c:v>
                </c:pt>
                <c:pt idx="19">
                  <c:v>54438</c:v>
                </c:pt>
                <c:pt idx="20">
                  <c:v>55131.5</c:v>
                </c:pt>
                <c:pt idx="21">
                  <c:v>55156</c:v>
                </c:pt>
                <c:pt idx="22">
                  <c:v>54534</c:v>
                </c:pt>
                <c:pt idx="23">
                  <c:v>54553</c:v>
                </c:pt>
                <c:pt idx="24">
                  <c:v>55131.5</c:v>
                </c:pt>
                <c:pt idx="25">
                  <c:v>55156</c:v>
                </c:pt>
                <c:pt idx="26">
                  <c:v>55156</c:v>
                </c:pt>
                <c:pt idx="27">
                  <c:v>55131.5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F9-4EBA-8741-765AFBA927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-1259</c:v>
                </c:pt>
                <c:pt idx="1">
                  <c:v>-1227</c:v>
                </c:pt>
                <c:pt idx="2">
                  <c:v>-1099</c:v>
                </c:pt>
                <c:pt idx="3">
                  <c:v>-1037</c:v>
                </c:pt>
                <c:pt idx="4">
                  <c:v>-767</c:v>
                </c:pt>
                <c:pt idx="5">
                  <c:v>-705</c:v>
                </c:pt>
                <c:pt idx="6">
                  <c:v>-438</c:v>
                </c:pt>
                <c:pt idx="7">
                  <c:v>-389</c:v>
                </c:pt>
                <c:pt idx="8">
                  <c:v>0</c:v>
                </c:pt>
                <c:pt idx="9">
                  <c:v>67</c:v>
                </c:pt>
                <c:pt idx="10">
                  <c:v>116</c:v>
                </c:pt>
                <c:pt idx="11">
                  <c:v>131</c:v>
                </c:pt>
                <c:pt idx="12">
                  <c:v>163</c:v>
                </c:pt>
                <c:pt idx="13">
                  <c:v>638</c:v>
                </c:pt>
                <c:pt idx="14">
                  <c:v>894</c:v>
                </c:pt>
                <c:pt idx="15">
                  <c:v>937</c:v>
                </c:pt>
                <c:pt idx="16">
                  <c:v>952</c:v>
                </c:pt>
                <c:pt idx="17">
                  <c:v>2787</c:v>
                </c:pt>
                <c:pt idx="18">
                  <c:v>49847</c:v>
                </c:pt>
                <c:pt idx="19">
                  <c:v>54438</c:v>
                </c:pt>
                <c:pt idx="20">
                  <c:v>55131.5</c:v>
                </c:pt>
                <c:pt idx="21">
                  <c:v>55156</c:v>
                </c:pt>
                <c:pt idx="22">
                  <c:v>54534</c:v>
                </c:pt>
                <c:pt idx="23">
                  <c:v>54553</c:v>
                </c:pt>
                <c:pt idx="24">
                  <c:v>55131.5</c:v>
                </c:pt>
                <c:pt idx="25">
                  <c:v>55156</c:v>
                </c:pt>
                <c:pt idx="26">
                  <c:v>55156</c:v>
                </c:pt>
                <c:pt idx="27">
                  <c:v>55131.5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-4.7127999969234224E-3</c:v>
                </c:pt>
                <c:pt idx="1">
                  <c:v>3.8216000029933639E-3</c:v>
                </c:pt>
                <c:pt idx="2">
                  <c:v>-2.0408000018505845E-3</c:v>
                </c:pt>
                <c:pt idx="3">
                  <c:v>-3.1304000003729016E-3</c:v>
                </c:pt>
                <c:pt idx="4">
                  <c:v>1.025360000130604E-2</c:v>
                </c:pt>
                <c:pt idx="5">
                  <c:v>-1.8359999994572718E-3</c:v>
                </c:pt>
                <c:pt idx="6">
                  <c:v>3.3103999994636979E-3</c:v>
                </c:pt>
                <c:pt idx="7">
                  <c:v>6.1911999982839916E-3</c:v>
                </c:pt>
                <c:pt idx="8">
                  <c:v>0</c:v>
                </c:pt>
                <c:pt idx="9">
                  <c:v>-2.6935999994748272E-3</c:v>
                </c:pt>
                <c:pt idx="10">
                  <c:v>3.2187200002226746E-2</c:v>
                </c:pt>
                <c:pt idx="11">
                  <c:v>-5.6247999964398332E-3</c:v>
                </c:pt>
                <c:pt idx="12">
                  <c:v>1.6909599999053171E-2</c:v>
                </c:pt>
                <c:pt idx="13">
                  <c:v>2.0529599998553749E-2</c:v>
                </c:pt>
                <c:pt idx="14">
                  <c:v>6.804800003010314E-3</c:v>
                </c:pt>
                <c:pt idx="15">
                  <c:v>-5.7895999998436309E-3</c:v>
                </c:pt>
                <c:pt idx="16">
                  <c:v>1.1398400001780828E-2</c:v>
                </c:pt>
                <c:pt idx="17">
                  <c:v>-1.0269599999446655E-2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F9-4EBA-8741-765AFBA927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-1259</c:v>
                </c:pt>
                <c:pt idx="1">
                  <c:v>-1227</c:v>
                </c:pt>
                <c:pt idx="2">
                  <c:v>-1099</c:v>
                </c:pt>
                <c:pt idx="3">
                  <c:v>-1037</c:v>
                </c:pt>
                <c:pt idx="4">
                  <c:v>-767</c:v>
                </c:pt>
                <c:pt idx="5">
                  <c:v>-705</c:v>
                </c:pt>
                <c:pt idx="6">
                  <c:v>-438</c:v>
                </c:pt>
                <c:pt idx="7">
                  <c:v>-389</c:v>
                </c:pt>
                <c:pt idx="8">
                  <c:v>0</c:v>
                </c:pt>
                <c:pt idx="9">
                  <c:v>67</c:v>
                </c:pt>
                <c:pt idx="10">
                  <c:v>116</c:v>
                </c:pt>
                <c:pt idx="11">
                  <c:v>131</c:v>
                </c:pt>
                <c:pt idx="12">
                  <c:v>163</c:v>
                </c:pt>
                <c:pt idx="13">
                  <c:v>638</c:v>
                </c:pt>
                <c:pt idx="14">
                  <c:v>894</c:v>
                </c:pt>
                <c:pt idx="15">
                  <c:v>937</c:v>
                </c:pt>
                <c:pt idx="16">
                  <c:v>952</c:v>
                </c:pt>
                <c:pt idx="17">
                  <c:v>2787</c:v>
                </c:pt>
                <c:pt idx="18">
                  <c:v>49847</c:v>
                </c:pt>
                <c:pt idx="19">
                  <c:v>54438</c:v>
                </c:pt>
                <c:pt idx="20">
                  <c:v>55131.5</c:v>
                </c:pt>
                <c:pt idx="21">
                  <c:v>55156</c:v>
                </c:pt>
                <c:pt idx="22">
                  <c:v>54534</c:v>
                </c:pt>
                <c:pt idx="23">
                  <c:v>54553</c:v>
                </c:pt>
                <c:pt idx="24">
                  <c:v>55131.5</c:v>
                </c:pt>
                <c:pt idx="25">
                  <c:v>55156</c:v>
                </c:pt>
                <c:pt idx="26">
                  <c:v>55156</c:v>
                </c:pt>
                <c:pt idx="27">
                  <c:v>55131.5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F9-4EBA-8741-765AFBA927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-1259</c:v>
                </c:pt>
                <c:pt idx="1">
                  <c:v>-1227</c:v>
                </c:pt>
                <c:pt idx="2">
                  <c:v>-1099</c:v>
                </c:pt>
                <c:pt idx="3">
                  <c:v>-1037</c:v>
                </c:pt>
                <c:pt idx="4">
                  <c:v>-767</c:v>
                </c:pt>
                <c:pt idx="5">
                  <c:v>-705</c:v>
                </c:pt>
                <c:pt idx="6">
                  <c:v>-438</c:v>
                </c:pt>
                <c:pt idx="7">
                  <c:v>-389</c:v>
                </c:pt>
                <c:pt idx="8">
                  <c:v>0</c:v>
                </c:pt>
                <c:pt idx="9">
                  <c:v>67</c:v>
                </c:pt>
                <c:pt idx="10">
                  <c:v>116</c:v>
                </c:pt>
                <c:pt idx="11">
                  <c:v>131</c:v>
                </c:pt>
                <c:pt idx="12">
                  <c:v>163</c:v>
                </c:pt>
                <c:pt idx="13">
                  <c:v>638</c:v>
                </c:pt>
                <c:pt idx="14">
                  <c:v>894</c:v>
                </c:pt>
                <c:pt idx="15">
                  <c:v>937</c:v>
                </c:pt>
                <c:pt idx="16">
                  <c:v>952</c:v>
                </c:pt>
                <c:pt idx="17">
                  <c:v>2787</c:v>
                </c:pt>
                <c:pt idx="18">
                  <c:v>49847</c:v>
                </c:pt>
                <c:pt idx="19">
                  <c:v>54438</c:v>
                </c:pt>
                <c:pt idx="20">
                  <c:v>55131.5</c:v>
                </c:pt>
                <c:pt idx="21">
                  <c:v>55156</c:v>
                </c:pt>
                <c:pt idx="22">
                  <c:v>54534</c:v>
                </c:pt>
                <c:pt idx="23">
                  <c:v>54553</c:v>
                </c:pt>
                <c:pt idx="24">
                  <c:v>55131.5</c:v>
                </c:pt>
                <c:pt idx="25">
                  <c:v>55156</c:v>
                </c:pt>
                <c:pt idx="26">
                  <c:v>55156</c:v>
                </c:pt>
                <c:pt idx="27">
                  <c:v>55131.5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8">
                  <c:v>-8.5117599999648519E-2</c:v>
                </c:pt>
                <c:pt idx="19">
                  <c:v>-1.7910399990796577E-2</c:v>
                </c:pt>
                <c:pt idx="20">
                  <c:v>-7.9185199960193131E-2</c:v>
                </c:pt>
                <c:pt idx="21">
                  <c:v>-8.7844799956656061E-2</c:v>
                </c:pt>
                <c:pt idx="22">
                  <c:v>-1.7507199998362921E-2</c:v>
                </c:pt>
                <c:pt idx="23">
                  <c:v>-7.9602399993746076E-2</c:v>
                </c:pt>
                <c:pt idx="24">
                  <c:v>-7.9185199960193131E-2</c:v>
                </c:pt>
                <c:pt idx="25">
                  <c:v>-8.7844799956656061E-2</c:v>
                </c:pt>
                <c:pt idx="26">
                  <c:v>-8.7844800000311807E-2</c:v>
                </c:pt>
                <c:pt idx="27">
                  <c:v>-7.9185199996572919E-2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F9-4EBA-8741-765AFBA927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-1259</c:v>
                </c:pt>
                <c:pt idx="1">
                  <c:v>-1227</c:v>
                </c:pt>
                <c:pt idx="2">
                  <c:v>-1099</c:v>
                </c:pt>
                <c:pt idx="3">
                  <c:v>-1037</c:v>
                </c:pt>
                <c:pt idx="4">
                  <c:v>-767</c:v>
                </c:pt>
                <c:pt idx="5">
                  <c:v>-705</c:v>
                </c:pt>
                <c:pt idx="6">
                  <c:v>-438</c:v>
                </c:pt>
                <c:pt idx="7">
                  <c:v>-389</c:v>
                </c:pt>
                <c:pt idx="8">
                  <c:v>0</c:v>
                </c:pt>
                <c:pt idx="9">
                  <c:v>67</c:v>
                </c:pt>
                <c:pt idx="10">
                  <c:v>116</c:v>
                </c:pt>
                <c:pt idx="11">
                  <c:v>131</c:v>
                </c:pt>
                <c:pt idx="12">
                  <c:v>163</c:v>
                </c:pt>
                <c:pt idx="13">
                  <c:v>638</c:v>
                </c:pt>
                <c:pt idx="14">
                  <c:v>894</c:v>
                </c:pt>
                <c:pt idx="15">
                  <c:v>937</c:v>
                </c:pt>
                <c:pt idx="16">
                  <c:v>952</c:v>
                </c:pt>
                <c:pt idx="17">
                  <c:v>2787</c:v>
                </c:pt>
                <c:pt idx="18">
                  <c:v>49847</c:v>
                </c:pt>
                <c:pt idx="19">
                  <c:v>54438</c:v>
                </c:pt>
                <c:pt idx="20">
                  <c:v>55131.5</c:v>
                </c:pt>
                <c:pt idx="21">
                  <c:v>55156</c:v>
                </c:pt>
                <c:pt idx="22">
                  <c:v>54534</c:v>
                </c:pt>
                <c:pt idx="23">
                  <c:v>54553</c:v>
                </c:pt>
                <c:pt idx="24">
                  <c:v>55131.5</c:v>
                </c:pt>
                <c:pt idx="25">
                  <c:v>55156</c:v>
                </c:pt>
                <c:pt idx="26">
                  <c:v>55156</c:v>
                </c:pt>
                <c:pt idx="27">
                  <c:v>55131.5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F9-4EBA-8741-765AFBA927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-1259</c:v>
                </c:pt>
                <c:pt idx="1">
                  <c:v>-1227</c:v>
                </c:pt>
                <c:pt idx="2">
                  <c:v>-1099</c:v>
                </c:pt>
                <c:pt idx="3">
                  <c:v>-1037</c:v>
                </c:pt>
                <c:pt idx="4">
                  <c:v>-767</c:v>
                </c:pt>
                <c:pt idx="5">
                  <c:v>-705</c:v>
                </c:pt>
                <c:pt idx="6">
                  <c:v>-438</c:v>
                </c:pt>
                <c:pt idx="7">
                  <c:v>-389</c:v>
                </c:pt>
                <c:pt idx="8">
                  <c:v>0</c:v>
                </c:pt>
                <c:pt idx="9">
                  <c:v>67</c:v>
                </c:pt>
                <c:pt idx="10">
                  <c:v>116</c:v>
                </c:pt>
                <c:pt idx="11">
                  <c:v>131</c:v>
                </c:pt>
                <c:pt idx="12">
                  <c:v>163</c:v>
                </c:pt>
                <c:pt idx="13">
                  <c:v>638</c:v>
                </c:pt>
                <c:pt idx="14">
                  <c:v>894</c:v>
                </c:pt>
                <c:pt idx="15">
                  <c:v>937</c:v>
                </c:pt>
                <c:pt idx="16">
                  <c:v>952</c:v>
                </c:pt>
                <c:pt idx="17">
                  <c:v>2787</c:v>
                </c:pt>
                <c:pt idx="18">
                  <c:v>49847</c:v>
                </c:pt>
                <c:pt idx="19">
                  <c:v>54438</c:v>
                </c:pt>
                <c:pt idx="20">
                  <c:v>55131.5</c:v>
                </c:pt>
                <c:pt idx="21">
                  <c:v>55156</c:v>
                </c:pt>
                <c:pt idx="22">
                  <c:v>54534</c:v>
                </c:pt>
                <c:pt idx="23">
                  <c:v>54553</c:v>
                </c:pt>
                <c:pt idx="24">
                  <c:v>55131.5</c:v>
                </c:pt>
                <c:pt idx="25">
                  <c:v>55156</c:v>
                </c:pt>
                <c:pt idx="26">
                  <c:v>55156</c:v>
                </c:pt>
                <c:pt idx="27">
                  <c:v>55131.5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F9-4EBA-8741-765AFBA927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1E-3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-1259</c:v>
                </c:pt>
                <c:pt idx="1">
                  <c:v>-1227</c:v>
                </c:pt>
                <c:pt idx="2">
                  <c:v>-1099</c:v>
                </c:pt>
                <c:pt idx="3">
                  <c:v>-1037</c:v>
                </c:pt>
                <c:pt idx="4">
                  <c:v>-767</c:v>
                </c:pt>
                <c:pt idx="5">
                  <c:v>-705</c:v>
                </c:pt>
                <c:pt idx="6">
                  <c:v>-438</c:v>
                </c:pt>
                <c:pt idx="7">
                  <c:v>-389</c:v>
                </c:pt>
                <c:pt idx="8">
                  <c:v>0</c:v>
                </c:pt>
                <c:pt idx="9">
                  <c:v>67</c:v>
                </c:pt>
                <c:pt idx="10">
                  <c:v>116</c:v>
                </c:pt>
                <c:pt idx="11">
                  <c:v>131</c:v>
                </c:pt>
                <c:pt idx="12">
                  <c:v>163</c:v>
                </c:pt>
                <c:pt idx="13">
                  <c:v>638</c:v>
                </c:pt>
                <c:pt idx="14">
                  <c:v>894</c:v>
                </c:pt>
                <c:pt idx="15">
                  <c:v>937</c:v>
                </c:pt>
                <c:pt idx="16">
                  <c:v>952</c:v>
                </c:pt>
                <c:pt idx="17">
                  <c:v>2787</c:v>
                </c:pt>
                <c:pt idx="18">
                  <c:v>49847</c:v>
                </c:pt>
                <c:pt idx="19">
                  <c:v>54438</c:v>
                </c:pt>
                <c:pt idx="20">
                  <c:v>55131.5</c:v>
                </c:pt>
                <c:pt idx="21">
                  <c:v>55156</c:v>
                </c:pt>
                <c:pt idx="22">
                  <c:v>54534</c:v>
                </c:pt>
                <c:pt idx="23">
                  <c:v>54553</c:v>
                </c:pt>
                <c:pt idx="24">
                  <c:v>55131.5</c:v>
                </c:pt>
                <c:pt idx="25">
                  <c:v>55156</c:v>
                </c:pt>
                <c:pt idx="26">
                  <c:v>55156</c:v>
                </c:pt>
                <c:pt idx="27">
                  <c:v>55131.5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F9-4EBA-8741-765AFBA927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-1259</c:v>
                </c:pt>
                <c:pt idx="1">
                  <c:v>-1227</c:v>
                </c:pt>
                <c:pt idx="2">
                  <c:v>-1099</c:v>
                </c:pt>
                <c:pt idx="3">
                  <c:v>-1037</c:v>
                </c:pt>
                <c:pt idx="4">
                  <c:v>-767</c:v>
                </c:pt>
                <c:pt idx="5">
                  <c:v>-705</c:v>
                </c:pt>
                <c:pt idx="6">
                  <c:v>-438</c:v>
                </c:pt>
                <c:pt idx="7">
                  <c:v>-389</c:v>
                </c:pt>
                <c:pt idx="8">
                  <c:v>0</c:v>
                </c:pt>
                <c:pt idx="9">
                  <c:v>67</c:v>
                </c:pt>
                <c:pt idx="10">
                  <c:v>116</c:v>
                </c:pt>
                <c:pt idx="11">
                  <c:v>131</c:v>
                </c:pt>
                <c:pt idx="12">
                  <c:v>163</c:v>
                </c:pt>
                <c:pt idx="13">
                  <c:v>638</c:v>
                </c:pt>
                <c:pt idx="14">
                  <c:v>894</c:v>
                </c:pt>
                <c:pt idx="15">
                  <c:v>937</c:v>
                </c:pt>
                <c:pt idx="16">
                  <c:v>952</c:v>
                </c:pt>
                <c:pt idx="17">
                  <c:v>2787</c:v>
                </c:pt>
                <c:pt idx="18">
                  <c:v>49847</c:v>
                </c:pt>
                <c:pt idx="19">
                  <c:v>54438</c:v>
                </c:pt>
                <c:pt idx="20">
                  <c:v>55131.5</c:v>
                </c:pt>
                <c:pt idx="21">
                  <c:v>55156</c:v>
                </c:pt>
                <c:pt idx="22">
                  <c:v>54534</c:v>
                </c:pt>
                <c:pt idx="23">
                  <c:v>54553</c:v>
                </c:pt>
                <c:pt idx="24">
                  <c:v>55131.5</c:v>
                </c:pt>
                <c:pt idx="25">
                  <c:v>55156</c:v>
                </c:pt>
                <c:pt idx="26">
                  <c:v>55156</c:v>
                </c:pt>
                <c:pt idx="27">
                  <c:v>55131.5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5.8069403268900237E-3</c:v>
                </c:pt>
                <c:pt idx="1">
                  <c:v>5.7633798636249909E-3</c:v>
                </c:pt>
                <c:pt idx="2">
                  <c:v>5.5891380105648567E-3</c:v>
                </c:pt>
                <c:pt idx="3">
                  <c:v>5.5047396129888548E-3</c:v>
                </c:pt>
                <c:pt idx="4">
                  <c:v>5.1371982041901352E-3</c:v>
                </c:pt>
                <c:pt idx="5">
                  <c:v>5.0527998066141333E-3</c:v>
                </c:pt>
                <c:pt idx="6">
                  <c:v>4.6893421912465099E-3</c:v>
                </c:pt>
                <c:pt idx="7">
                  <c:v>4.6226402318719278E-3</c:v>
                </c:pt>
                <c:pt idx="8">
                  <c:v>4.0931083503063653E-3</c:v>
                </c:pt>
                <c:pt idx="9">
                  <c:v>4.0019036303452016E-3</c:v>
                </c:pt>
                <c:pt idx="10">
                  <c:v>3.9352016709706195E-3</c:v>
                </c:pt>
                <c:pt idx="11">
                  <c:v>3.914782703815135E-3</c:v>
                </c:pt>
                <c:pt idx="12">
                  <c:v>3.8712222405501012E-3</c:v>
                </c:pt>
                <c:pt idx="13">
                  <c:v>3.2246216139597615E-3</c:v>
                </c:pt>
                <c:pt idx="14">
                  <c:v>2.8761379078394941E-3</c:v>
                </c:pt>
                <c:pt idx="15">
                  <c:v>2.8176035353271057E-3</c:v>
                </c:pt>
                <c:pt idx="16">
                  <c:v>2.7971845681716212E-3</c:v>
                </c:pt>
                <c:pt idx="17">
                  <c:v>2.9926425281736084E-4</c:v>
                </c:pt>
                <c:pt idx="18">
                  <c:v>-6.3761842036322416E-2</c:v>
                </c:pt>
                <c:pt idx="19">
                  <c:v>-7.0011407250377675E-2</c:v>
                </c:pt>
                <c:pt idx="20">
                  <c:v>-7.0955444165199569E-2</c:v>
                </c:pt>
                <c:pt idx="21">
                  <c:v>-7.098879514488686E-2</c:v>
                </c:pt>
                <c:pt idx="22">
                  <c:v>-7.0142088640172781E-2</c:v>
                </c:pt>
                <c:pt idx="23">
                  <c:v>-7.0167952665236386E-2</c:v>
                </c:pt>
                <c:pt idx="24">
                  <c:v>-7.0955444165199569E-2</c:v>
                </c:pt>
                <c:pt idx="25">
                  <c:v>-7.098879514488686E-2</c:v>
                </c:pt>
                <c:pt idx="26">
                  <c:v>-7.098879514488686E-2</c:v>
                </c:pt>
                <c:pt idx="27">
                  <c:v>-7.0955444165199569E-2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F9-4EBA-8741-765AFBA927B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-1259</c:v>
                </c:pt>
                <c:pt idx="1">
                  <c:v>-1227</c:v>
                </c:pt>
                <c:pt idx="2">
                  <c:v>-1099</c:v>
                </c:pt>
                <c:pt idx="3">
                  <c:v>-1037</c:v>
                </c:pt>
                <c:pt idx="4">
                  <c:v>-767</c:v>
                </c:pt>
                <c:pt idx="5">
                  <c:v>-705</c:v>
                </c:pt>
                <c:pt idx="6">
                  <c:v>-438</c:v>
                </c:pt>
                <c:pt idx="7">
                  <c:v>-389</c:v>
                </c:pt>
                <c:pt idx="8">
                  <c:v>0</c:v>
                </c:pt>
                <c:pt idx="9">
                  <c:v>67</c:v>
                </c:pt>
                <c:pt idx="10">
                  <c:v>116</c:v>
                </c:pt>
                <c:pt idx="11">
                  <c:v>131</c:v>
                </c:pt>
                <c:pt idx="12">
                  <c:v>163</c:v>
                </c:pt>
                <c:pt idx="13">
                  <c:v>638</c:v>
                </c:pt>
                <c:pt idx="14">
                  <c:v>894</c:v>
                </c:pt>
                <c:pt idx="15">
                  <c:v>937</c:v>
                </c:pt>
                <c:pt idx="16">
                  <c:v>952</c:v>
                </c:pt>
                <c:pt idx="17">
                  <c:v>2787</c:v>
                </c:pt>
                <c:pt idx="18">
                  <c:v>49847</c:v>
                </c:pt>
                <c:pt idx="19">
                  <c:v>54438</c:v>
                </c:pt>
                <c:pt idx="20">
                  <c:v>55131.5</c:v>
                </c:pt>
                <c:pt idx="21">
                  <c:v>55156</c:v>
                </c:pt>
                <c:pt idx="22">
                  <c:v>54534</c:v>
                </c:pt>
                <c:pt idx="23">
                  <c:v>54553</c:v>
                </c:pt>
                <c:pt idx="24">
                  <c:v>55131.5</c:v>
                </c:pt>
                <c:pt idx="25">
                  <c:v>55156</c:v>
                </c:pt>
                <c:pt idx="26">
                  <c:v>55156</c:v>
                </c:pt>
                <c:pt idx="27">
                  <c:v>55131.5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F9-4EBA-8741-765AFBA92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27184"/>
        <c:axId val="1"/>
      </c:scatterChart>
      <c:valAx>
        <c:axId val="38482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827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523875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AF3645-2528-C2BB-4566-E4F3A8C11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47</v>
      </c>
      <c r="F1" s="31" t="s">
        <v>44</v>
      </c>
      <c r="G1" s="32">
        <v>0</v>
      </c>
      <c r="H1" s="33"/>
      <c r="I1" s="34" t="s">
        <v>45</v>
      </c>
      <c r="J1" s="35" t="s">
        <v>44</v>
      </c>
      <c r="K1" s="36">
        <v>7.0913000000000004</v>
      </c>
      <c r="L1" s="37">
        <v>-18.3841</v>
      </c>
      <c r="M1" s="38">
        <v>28097.8</v>
      </c>
      <c r="N1" s="38">
        <v>0.53092079999999997</v>
      </c>
      <c r="O1" s="34" t="s">
        <v>46</v>
      </c>
    </row>
    <row r="2" spans="1:15" x14ac:dyDescent="0.2">
      <c r="A2" t="s">
        <v>26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3</v>
      </c>
      <c r="C4" s="27">
        <v>54562.523999999998</v>
      </c>
      <c r="D4" s="28">
        <v>0.53092050000000002</v>
      </c>
    </row>
    <row r="5" spans="1:15" ht="13.5" thickTop="1" x14ac:dyDescent="0.2">
      <c r="A5" s="9" t="s">
        <v>31</v>
      </c>
      <c r="B5" s="10"/>
      <c r="C5" s="11">
        <v>-9.5</v>
      </c>
      <c r="D5" s="10" t="s">
        <v>32</v>
      </c>
      <c r="E5" s="10"/>
    </row>
    <row r="6" spans="1:15" x14ac:dyDescent="0.2">
      <c r="A6" s="5" t="s">
        <v>4</v>
      </c>
    </row>
    <row r="7" spans="1:15" x14ac:dyDescent="0.2">
      <c r="A7" t="s">
        <v>5</v>
      </c>
      <c r="C7" s="68">
        <v>28097.8</v>
      </c>
      <c r="D7" s="29" t="s">
        <v>48</v>
      </c>
    </row>
    <row r="8" spans="1:15" x14ac:dyDescent="0.2">
      <c r="A8" t="s">
        <v>6</v>
      </c>
      <c r="C8" s="68">
        <v>0.53092079999999997</v>
      </c>
      <c r="D8" s="29" t="s">
        <v>48</v>
      </c>
    </row>
    <row r="9" spans="1:15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15" x14ac:dyDescent="0.2">
      <c r="A11" s="10" t="s">
        <v>18</v>
      </c>
      <c r="B11" s="10"/>
      <c r="C11" s="21">
        <f ca="1">INTERCEPT(INDIRECT($D$9):G992,INDIRECT($C$9):F992)</f>
        <v>4.0931083503063653E-3</v>
      </c>
      <c r="D11" s="3"/>
      <c r="E11" s="10"/>
    </row>
    <row r="12" spans="1:15" x14ac:dyDescent="0.2">
      <c r="A12" s="10" t="s">
        <v>19</v>
      </c>
      <c r="B12" s="10"/>
      <c r="C12" s="21">
        <f ca="1">SLOPE(INDIRECT($D$9):G992,INDIRECT($C$9):F992)</f>
        <v>-1.3612644770322944E-6</v>
      </c>
      <c r="D12" s="3"/>
      <c r="E12" s="10"/>
    </row>
    <row r="13" spans="1:15" x14ac:dyDescent="0.2">
      <c r="A13" s="10" t="s">
        <v>21</v>
      </c>
      <c r="B13" s="10"/>
      <c r="C13" s="3" t="s">
        <v>16</v>
      </c>
    </row>
    <row r="14" spans="1:15" x14ac:dyDescent="0.2">
      <c r="A14" s="10"/>
      <c r="B14" s="10"/>
      <c r="C14" s="10"/>
    </row>
    <row r="15" spans="1:15" x14ac:dyDescent="0.2">
      <c r="A15" s="12" t="s">
        <v>20</v>
      </c>
      <c r="B15" s="10"/>
      <c r="C15" s="13">
        <f ca="1">(C7+C11)+(C8+C12)*INT(MAX(F21:F3533))</f>
        <v>57381.196656004853</v>
      </c>
      <c r="E15" s="14" t="s">
        <v>37</v>
      </c>
      <c r="F15" s="39">
        <v>1</v>
      </c>
    </row>
    <row r="16" spans="1:15" x14ac:dyDescent="0.2">
      <c r="A16" s="16" t="s">
        <v>7</v>
      </c>
      <c r="B16" s="10"/>
      <c r="C16" s="17">
        <f ca="1">+C8+C12</f>
        <v>0.53091943873552294</v>
      </c>
      <c r="E16" s="14" t="s">
        <v>33</v>
      </c>
      <c r="F16" s="40">
        <f ca="1">NOW()+15018.5+$C$5/24</f>
        <v>60335.694891319443</v>
      </c>
    </row>
    <row r="17" spans="1:21" ht="13.5" thickBot="1" x14ac:dyDescent="0.25">
      <c r="A17" s="14" t="s">
        <v>30</v>
      </c>
      <c r="B17" s="10"/>
      <c r="C17" s="10">
        <f>COUNT(C21:C2191)</f>
        <v>28</v>
      </c>
      <c r="E17" s="14" t="s">
        <v>38</v>
      </c>
      <c r="F17" s="15">
        <f ca="1">ROUND(2*(F16-$C$7)/$C$8,0)/2+F15</f>
        <v>60721.5</v>
      </c>
    </row>
    <row r="18" spans="1:21" ht="14.25" thickTop="1" thickBot="1" x14ac:dyDescent="0.25">
      <c r="A18" s="16" t="s">
        <v>8</v>
      </c>
      <c r="B18" s="10"/>
      <c r="C18" s="19">
        <f ca="1">+C15</f>
        <v>57381.196656004853</v>
      </c>
      <c r="D18" s="20">
        <f ca="1">+C16</f>
        <v>0.53091943873552294</v>
      </c>
      <c r="E18" s="14" t="s">
        <v>39</v>
      </c>
      <c r="F18" s="23">
        <f ca="1">ROUND(2*(F16-$C$15)/$C$16,0)/2+F15</f>
        <v>5566</v>
      </c>
    </row>
    <row r="19" spans="1:21" ht="13.5" thickTop="1" x14ac:dyDescent="0.2">
      <c r="E19" s="14" t="s">
        <v>34</v>
      </c>
      <c r="F19" s="18">
        <f ca="1">+$C$15+$C$16*F18-15018.5-$C$5/24</f>
        <v>45318.190085340109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s="56" t="s">
        <v>63</v>
      </c>
      <c r="B21" s="58" t="s">
        <v>114</v>
      </c>
      <c r="C21" s="57">
        <v>27429.366000000002</v>
      </c>
      <c r="D21" s="57" t="s">
        <v>41</v>
      </c>
      <c r="E21">
        <f t="shared" ref="E21:E40" si="0">+(C21-C$7)/C$8</f>
        <v>-1259.0088766535375</v>
      </c>
      <c r="F21">
        <f t="shared" ref="F21:F48" si="1">ROUND(2*E21,0)/2</f>
        <v>-1259</v>
      </c>
      <c r="G21">
        <f t="shared" ref="G21:G40" si="2">+C21-(C$7+F21*C$8)</f>
        <v>-4.7127999969234224E-3</v>
      </c>
      <c r="I21">
        <f t="shared" ref="I21:I38" si="3">+G21</f>
        <v>-4.7127999969234224E-3</v>
      </c>
      <c r="O21">
        <f t="shared" ref="O21:O40" ca="1" si="4">+C$11+C$12*$F21</f>
        <v>5.8069403268900237E-3</v>
      </c>
      <c r="Q21" s="2">
        <f t="shared" ref="Q21:Q40" si="5">+C21-15018.5</f>
        <v>12410.866000000002</v>
      </c>
    </row>
    <row r="22" spans="1:21" x14ac:dyDescent="0.2">
      <c r="A22" s="56" t="s">
        <v>63</v>
      </c>
      <c r="B22" s="58" t="s">
        <v>114</v>
      </c>
      <c r="C22" s="57">
        <v>27446.364000000001</v>
      </c>
      <c r="D22" s="57" t="s">
        <v>41</v>
      </c>
      <c r="E22">
        <f t="shared" si="0"/>
        <v>-1226.9928019395697</v>
      </c>
      <c r="F22">
        <f t="shared" si="1"/>
        <v>-1227</v>
      </c>
      <c r="G22">
        <f t="shared" si="2"/>
        <v>3.8216000029933639E-3</v>
      </c>
      <c r="I22">
        <f t="shared" si="3"/>
        <v>3.8216000029933639E-3</v>
      </c>
      <c r="O22">
        <f t="shared" ca="1" si="4"/>
        <v>5.7633798636249909E-3</v>
      </c>
      <c r="Q22" s="2">
        <f t="shared" si="5"/>
        <v>12427.864000000001</v>
      </c>
    </row>
    <row r="23" spans="1:21" x14ac:dyDescent="0.2">
      <c r="A23" s="56" t="s">
        <v>63</v>
      </c>
      <c r="B23" s="58" t="s">
        <v>114</v>
      </c>
      <c r="C23" s="57">
        <v>27514.315999999999</v>
      </c>
      <c r="D23" s="57" t="s">
        <v>41</v>
      </c>
      <c r="E23">
        <f t="shared" si="0"/>
        <v>-1099.0038438878273</v>
      </c>
      <c r="F23">
        <f t="shared" si="1"/>
        <v>-1099</v>
      </c>
      <c r="G23">
        <f t="shared" si="2"/>
        <v>-2.0408000018505845E-3</v>
      </c>
      <c r="I23">
        <f t="shared" si="3"/>
        <v>-2.0408000018505845E-3</v>
      </c>
      <c r="O23">
        <f t="shared" ca="1" si="4"/>
        <v>5.5891380105648567E-3</v>
      </c>
      <c r="Q23" s="2">
        <f t="shared" si="5"/>
        <v>12495.815999999999</v>
      </c>
    </row>
    <row r="24" spans="1:21" x14ac:dyDescent="0.2">
      <c r="A24" s="56" t="s">
        <v>63</v>
      </c>
      <c r="B24" s="58" t="s">
        <v>114</v>
      </c>
      <c r="C24" s="57">
        <v>27547.232</v>
      </c>
      <c r="D24" s="57" t="s">
        <v>41</v>
      </c>
      <c r="E24">
        <f t="shared" si="0"/>
        <v>-1037.0058961713298</v>
      </c>
      <c r="F24">
        <f t="shared" si="1"/>
        <v>-1037</v>
      </c>
      <c r="G24">
        <f t="shared" si="2"/>
        <v>-3.1304000003729016E-3</v>
      </c>
      <c r="I24">
        <f t="shared" si="3"/>
        <v>-3.1304000003729016E-3</v>
      </c>
      <c r="O24">
        <f t="shared" ca="1" si="4"/>
        <v>5.5047396129888548E-3</v>
      </c>
      <c r="Q24" s="2">
        <f t="shared" si="5"/>
        <v>12528.732</v>
      </c>
    </row>
    <row r="25" spans="1:21" x14ac:dyDescent="0.2">
      <c r="A25" s="56" t="s">
        <v>63</v>
      </c>
      <c r="B25" s="58" t="s">
        <v>114</v>
      </c>
      <c r="C25" s="57">
        <v>27690.594000000001</v>
      </c>
      <c r="D25" s="57" t="s">
        <v>41</v>
      </c>
      <c r="E25">
        <f t="shared" si="0"/>
        <v>-766.98068713826683</v>
      </c>
      <c r="F25">
        <f t="shared" si="1"/>
        <v>-767</v>
      </c>
      <c r="G25">
        <f t="shared" si="2"/>
        <v>1.025360000130604E-2</v>
      </c>
      <c r="I25">
        <f t="shared" si="3"/>
        <v>1.025360000130604E-2</v>
      </c>
      <c r="O25">
        <f t="shared" ca="1" si="4"/>
        <v>5.1371982041901352E-3</v>
      </c>
      <c r="Q25" s="2">
        <f t="shared" si="5"/>
        <v>12672.094000000001</v>
      </c>
    </row>
    <row r="26" spans="1:21" x14ac:dyDescent="0.2">
      <c r="A26" s="56" t="s">
        <v>63</v>
      </c>
      <c r="B26" s="58" t="s">
        <v>114</v>
      </c>
      <c r="C26" s="57">
        <v>27723.499</v>
      </c>
      <c r="D26" s="57" t="s">
        <v>41</v>
      </c>
      <c r="E26">
        <f t="shared" si="0"/>
        <v>-705.00345814290847</v>
      </c>
      <c r="F26">
        <f t="shared" si="1"/>
        <v>-705</v>
      </c>
      <c r="G26">
        <f t="shared" si="2"/>
        <v>-1.8359999994572718E-3</v>
      </c>
      <c r="I26">
        <f t="shared" si="3"/>
        <v>-1.8359999994572718E-3</v>
      </c>
      <c r="O26">
        <f t="shared" ca="1" si="4"/>
        <v>5.0527998066141333E-3</v>
      </c>
      <c r="Q26" s="2">
        <f t="shared" si="5"/>
        <v>12704.999</v>
      </c>
    </row>
    <row r="27" spans="1:21" x14ac:dyDescent="0.2">
      <c r="A27" s="56" t="s">
        <v>63</v>
      </c>
      <c r="B27" s="58" t="s">
        <v>114</v>
      </c>
      <c r="C27" s="57">
        <v>27865.26</v>
      </c>
      <c r="D27" s="57" t="s">
        <v>41</v>
      </c>
      <c r="E27">
        <f t="shared" si="0"/>
        <v>-437.99376479505207</v>
      </c>
      <c r="F27">
        <f t="shared" si="1"/>
        <v>-438</v>
      </c>
      <c r="G27">
        <f t="shared" si="2"/>
        <v>3.3103999994636979E-3</v>
      </c>
      <c r="I27">
        <f t="shared" si="3"/>
        <v>3.3103999994636979E-3</v>
      </c>
      <c r="O27">
        <f t="shared" ca="1" si="4"/>
        <v>4.6893421912465099E-3</v>
      </c>
      <c r="Q27" s="2">
        <f t="shared" si="5"/>
        <v>12846.759999999998</v>
      </c>
    </row>
    <row r="28" spans="1:21" x14ac:dyDescent="0.2">
      <c r="A28" s="56" t="s">
        <v>63</v>
      </c>
      <c r="B28" s="58" t="s">
        <v>114</v>
      </c>
      <c r="C28" s="57">
        <v>27891.277999999998</v>
      </c>
      <c r="D28" s="57" t="s">
        <v>41</v>
      </c>
      <c r="E28">
        <f t="shared" si="0"/>
        <v>-388.98833875033876</v>
      </c>
      <c r="F28">
        <f t="shared" si="1"/>
        <v>-389</v>
      </c>
      <c r="G28">
        <f t="shared" si="2"/>
        <v>6.1911999982839916E-3</v>
      </c>
      <c r="I28">
        <f t="shared" si="3"/>
        <v>6.1911999982839916E-3</v>
      </c>
      <c r="O28">
        <f t="shared" ca="1" si="4"/>
        <v>4.6226402318719278E-3</v>
      </c>
      <c r="Q28" s="2">
        <f t="shared" si="5"/>
        <v>12872.777999999998</v>
      </c>
    </row>
    <row r="29" spans="1:21" x14ac:dyDescent="0.2">
      <c r="A29" t="s">
        <v>48</v>
      </c>
      <c r="C29" s="8">
        <v>28097.8</v>
      </c>
      <c r="D29" s="8" t="s">
        <v>16</v>
      </c>
      <c r="E29">
        <f t="shared" si="0"/>
        <v>0</v>
      </c>
      <c r="F29">
        <f t="shared" si="1"/>
        <v>0</v>
      </c>
      <c r="G29">
        <f t="shared" si="2"/>
        <v>0</v>
      </c>
      <c r="I29">
        <f t="shared" si="3"/>
        <v>0</v>
      </c>
      <c r="O29">
        <f t="shared" ca="1" si="4"/>
        <v>4.0931083503063653E-3</v>
      </c>
      <c r="Q29" s="2">
        <f t="shared" si="5"/>
        <v>13079.3</v>
      </c>
    </row>
    <row r="30" spans="1:21" x14ac:dyDescent="0.2">
      <c r="A30" s="56" t="s">
        <v>63</v>
      </c>
      <c r="B30" s="58" t="s">
        <v>114</v>
      </c>
      <c r="C30" s="57">
        <v>28133.368999999999</v>
      </c>
      <c r="D30" s="57" t="s">
        <v>41</v>
      </c>
      <c r="E30">
        <f t="shared" si="0"/>
        <v>66.994926550249133</v>
      </c>
      <c r="F30">
        <f t="shared" si="1"/>
        <v>67</v>
      </c>
      <c r="G30">
        <f t="shared" si="2"/>
        <v>-2.6935999994748272E-3</v>
      </c>
      <c r="I30">
        <f t="shared" si="3"/>
        <v>-2.6935999994748272E-3</v>
      </c>
      <c r="O30">
        <f t="shared" ca="1" si="4"/>
        <v>4.0019036303452016E-3</v>
      </c>
      <c r="Q30" s="2">
        <f t="shared" si="5"/>
        <v>13114.868999999999</v>
      </c>
    </row>
    <row r="31" spans="1:21" x14ac:dyDescent="0.2">
      <c r="A31" s="56" t="s">
        <v>63</v>
      </c>
      <c r="B31" s="58" t="s">
        <v>114</v>
      </c>
      <c r="C31" s="57">
        <v>28159.419000000002</v>
      </c>
      <c r="D31" s="57" t="s">
        <v>41</v>
      </c>
      <c r="E31">
        <f t="shared" si="0"/>
        <v>116.06062523826985</v>
      </c>
      <c r="F31">
        <f t="shared" si="1"/>
        <v>116</v>
      </c>
      <c r="G31">
        <f t="shared" si="2"/>
        <v>3.2187200002226746E-2</v>
      </c>
      <c r="I31">
        <f t="shared" si="3"/>
        <v>3.2187200002226746E-2</v>
      </c>
      <c r="O31">
        <f t="shared" ca="1" si="4"/>
        <v>3.9352016709706195E-3</v>
      </c>
      <c r="Q31" s="2">
        <f t="shared" si="5"/>
        <v>13140.919000000002</v>
      </c>
    </row>
    <row r="32" spans="1:21" x14ac:dyDescent="0.2">
      <c r="A32" s="56" t="s">
        <v>63</v>
      </c>
      <c r="B32" s="58" t="s">
        <v>114</v>
      </c>
      <c r="C32" s="57">
        <v>28167.345000000001</v>
      </c>
      <c r="D32" s="57" t="s">
        <v>41</v>
      </c>
      <c r="E32">
        <f t="shared" si="0"/>
        <v>130.98940557612715</v>
      </c>
      <c r="F32">
        <f t="shared" si="1"/>
        <v>131</v>
      </c>
      <c r="G32">
        <f t="shared" si="2"/>
        <v>-5.6247999964398332E-3</v>
      </c>
      <c r="I32">
        <f t="shared" si="3"/>
        <v>-5.6247999964398332E-3</v>
      </c>
      <c r="O32">
        <f t="shared" ca="1" si="4"/>
        <v>3.914782703815135E-3</v>
      </c>
      <c r="Q32" s="2">
        <f t="shared" si="5"/>
        <v>13148.845000000001</v>
      </c>
    </row>
    <row r="33" spans="1:17" x14ac:dyDescent="0.2">
      <c r="A33" s="56" t="s">
        <v>63</v>
      </c>
      <c r="B33" s="58" t="s">
        <v>114</v>
      </c>
      <c r="C33" s="57">
        <v>28184.357</v>
      </c>
      <c r="D33" s="57" t="s">
        <v>41</v>
      </c>
      <c r="E33">
        <f t="shared" si="0"/>
        <v>163.03184957153817</v>
      </c>
      <c r="F33">
        <f t="shared" si="1"/>
        <v>163</v>
      </c>
      <c r="G33">
        <f t="shared" si="2"/>
        <v>1.6909599999053171E-2</v>
      </c>
      <c r="I33">
        <f t="shared" si="3"/>
        <v>1.6909599999053171E-2</v>
      </c>
      <c r="O33">
        <f t="shared" ca="1" si="4"/>
        <v>3.8712222405501012E-3</v>
      </c>
      <c r="Q33" s="2">
        <f t="shared" si="5"/>
        <v>13165.857</v>
      </c>
    </row>
    <row r="34" spans="1:17" x14ac:dyDescent="0.2">
      <c r="A34" s="56" t="s">
        <v>63</v>
      </c>
      <c r="B34" s="58" t="s">
        <v>114</v>
      </c>
      <c r="C34" s="57">
        <v>28436.547999999999</v>
      </c>
      <c r="D34" s="57" t="s">
        <v>41</v>
      </c>
      <c r="E34">
        <f t="shared" si="0"/>
        <v>638.0386679143096</v>
      </c>
      <c r="F34">
        <f t="shared" si="1"/>
        <v>638</v>
      </c>
      <c r="G34">
        <f t="shared" si="2"/>
        <v>2.0529599998553749E-2</v>
      </c>
      <c r="I34">
        <f t="shared" si="3"/>
        <v>2.0529599998553749E-2</v>
      </c>
      <c r="O34">
        <f t="shared" ca="1" si="4"/>
        <v>3.2246216139597615E-3</v>
      </c>
      <c r="Q34" s="2">
        <f t="shared" si="5"/>
        <v>13418.047999999999</v>
      </c>
    </row>
    <row r="35" spans="1:17" x14ac:dyDescent="0.2">
      <c r="A35" s="56" t="s">
        <v>63</v>
      </c>
      <c r="B35" s="58" t="s">
        <v>114</v>
      </c>
      <c r="C35" s="57">
        <v>28572.45</v>
      </c>
      <c r="D35" s="57" t="s">
        <v>41</v>
      </c>
      <c r="E35">
        <f t="shared" si="0"/>
        <v>894.01281697760101</v>
      </c>
      <c r="F35">
        <f t="shared" si="1"/>
        <v>894</v>
      </c>
      <c r="G35">
        <f t="shared" si="2"/>
        <v>6.804800003010314E-3</v>
      </c>
      <c r="I35">
        <f t="shared" si="3"/>
        <v>6.804800003010314E-3</v>
      </c>
      <c r="O35">
        <f t="shared" ca="1" si="4"/>
        <v>2.8761379078394941E-3</v>
      </c>
      <c r="Q35" s="2">
        <f t="shared" si="5"/>
        <v>13553.95</v>
      </c>
    </row>
    <row r="36" spans="1:17" x14ac:dyDescent="0.2">
      <c r="A36" s="56" t="s">
        <v>63</v>
      </c>
      <c r="B36" s="58" t="s">
        <v>114</v>
      </c>
      <c r="C36" s="57">
        <v>28595.267</v>
      </c>
      <c r="D36" s="57" t="s">
        <v>41</v>
      </c>
      <c r="E36">
        <f t="shared" si="0"/>
        <v>936.98909517201173</v>
      </c>
      <c r="F36">
        <f t="shared" si="1"/>
        <v>937</v>
      </c>
      <c r="G36">
        <f t="shared" si="2"/>
        <v>-5.7895999998436309E-3</v>
      </c>
      <c r="I36">
        <f t="shared" si="3"/>
        <v>-5.7895999998436309E-3</v>
      </c>
      <c r="O36">
        <f t="shared" ca="1" si="4"/>
        <v>2.8176035353271057E-3</v>
      </c>
      <c r="Q36" s="2">
        <f t="shared" si="5"/>
        <v>13576.767</v>
      </c>
    </row>
    <row r="37" spans="1:17" x14ac:dyDescent="0.2">
      <c r="A37" s="56" t="s">
        <v>63</v>
      </c>
      <c r="B37" s="58" t="s">
        <v>114</v>
      </c>
      <c r="C37" s="57">
        <v>28603.248</v>
      </c>
      <c r="D37" s="57" t="s">
        <v>41</v>
      </c>
      <c r="E37">
        <f t="shared" si="0"/>
        <v>952.02146911554485</v>
      </c>
      <c r="F37">
        <f t="shared" si="1"/>
        <v>952</v>
      </c>
      <c r="G37">
        <f t="shared" si="2"/>
        <v>1.1398400001780828E-2</v>
      </c>
      <c r="I37">
        <f t="shared" si="3"/>
        <v>1.1398400001780828E-2</v>
      </c>
      <c r="O37">
        <f t="shared" ca="1" si="4"/>
        <v>2.7971845681716212E-3</v>
      </c>
      <c r="Q37" s="2">
        <f t="shared" si="5"/>
        <v>13584.748</v>
      </c>
    </row>
    <row r="38" spans="1:17" x14ac:dyDescent="0.2">
      <c r="A38" s="56" t="s">
        <v>63</v>
      </c>
      <c r="B38" s="58" t="s">
        <v>114</v>
      </c>
      <c r="C38" s="57">
        <v>29577.466</v>
      </c>
      <c r="D38" s="57" t="s">
        <v>41</v>
      </c>
      <c r="E38">
        <f t="shared" si="0"/>
        <v>2786.9806570019505</v>
      </c>
      <c r="F38">
        <f t="shared" si="1"/>
        <v>2787</v>
      </c>
      <c r="G38">
        <f t="shared" si="2"/>
        <v>-1.0269599999446655E-2</v>
      </c>
      <c r="I38">
        <f t="shared" si="3"/>
        <v>-1.0269599999446655E-2</v>
      </c>
      <c r="O38">
        <f t="shared" ca="1" si="4"/>
        <v>2.9926425281736084E-4</v>
      </c>
      <c r="Q38" s="2">
        <f t="shared" si="5"/>
        <v>14558.966</v>
      </c>
    </row>
    <row r="39" spans="1:17" x14ac:dyDescent="0.2">
      <c r="A39" t="s">
        <v>49</v>
      </c>
      <c r="C39" s="8">
        <v>54562.523999999998</v>
      </c>
      <c r="D39" s="8"/>
      <c r="E39">
        <f t="shared" si="0"/>
        <v>49846.839679289267</v>
      </c>
      <c r="F39">
        <f t="shared" si="1"/>
        <v>49847</v>
      </c>
      <c r="G39">
        <f t="shared" si="2"/>
        <v>-8.5117599999648519E-2</v>
      </c>
      <c r="K39">
        <f>+G39</f>
        <v>-8.5117599999648519E-2</v>
      </c>
      <c r="O39">
        <f t="shared" ca="1" si="4"/>
        <v>-6.3761842036322416E-2</v>
      </c>
      <c r="Q39" s="2">
        <f t="shared" si="5"/>
        <v>39544.023999999998</v>
      </c>
    </row>
    <row r="40" spans="1:17" x14ac:dyDescent="0.2">
      <c r="A40" s="41" t="s">
        <v>50</v>
      </c>
      <c r="B40" s="42"/>
      <c r="C40" s="41">
        <v>57000.048600000002</v>
      </c>
      <c r="D40" s="41">
        <v>1E-3</v>
      </c>
      <c r="E40">
        <f t="shared" si="0"/>
        <v>54437.966265401548</v>
      </c>
      <c r="F40">
        <f t="shared" si="1"/>
        <v>54438</v>
      </c>
      <c r="G40">
        <f t="shared" si="2"/>
        <v>-1.7910399990796577E-2</v>
      </c>
      <c r="K40">
        <f>+G40</f>
        <v>-1.7910399990796577E-2</v>
      </c>
      <c r="O40">
        <f t="shared" ca="1" si="4"/>
        <v>-7.0011407250377675E-2</v>
      </c>
      <c r="Q40" s="2">
        <f t="shared" si="5"/>
        <v>41981.548600000002</v>
      </c>
    </row>
    <row r="41" spans="1:17" x14ac:dyDescent="0.2">
      <c r="A41" s="59" t="s">
        <v>115</v>
      </c>
      <c r="B41" s="60" t="s">
        <v>2</v>
      </c>
      <c r="C41" s="61">
        <v>57368.180900000036</v>
      </c>
      <c r="D41" s="62"/>
      <c r="E41">
        <f t="shared" ref="E41:E48" si="6">+(C41-C$7)/C$8</f>
        <v>55131.350853083997</v>
      </c>
      <c r="F41">
        <f t="shared" si="1"/>
        <v>55131.5</v>
      </c>
      <c r="G41">
        <f t="shared" ref="G41:G48" si="7">+C41-(C$7+F41*C$8)</f>
        <v>-7.9185199960193131E-2</v>
      </c>
      <c r="K41">
        <f t="shared" ref="K41:K48" si="8">+G41</f>
        <v>-7.9185199960193131E-2</v>
      </c>
      <c r="O41">
        <f t="shared" ref="O41:O48" ca="1" si="9">+C$11+C$12*$F41</f>
        <v>-7.0955444165199569E-2</v>
      </c>
      <c r="Q41" s="2">
        <f t="shared" ref="Q41:Q48" si="10">+C41-15018.5</f>
        <v>42349.680900000036</v>
      </c>
    </row>
    <row r="42" spans="1:17" x14ac:dyDescent="0.2">
      <c r="A42" s="59" t="s">
        <v>115</v>
      </c>
      <c r="B42" s="60" t="s">
        <v>114</v>
      </c>
      <c r="C42" s="61">
        <v>57381.179800000042</v>
      </c>
      <c r="D42" s="62"/>
      <c r="E42">
        <f t="shared" si="6"/>
        <v>55155.834542553326</v>
      </c>
      <c r="F42">
        <f t="shared" si="1"/>
        <v>55156</v>
      </c>
      <c r="G42">
        <f t="shared" si="7"/>
        <v>-8.7844799956656061E-2</v>
      </c>
      <c r="K42">
        <f t="shared" si="8"/>
        <v>-8.7844799956656061E-2</v>
      </c>
      <c r="O42">
        <f t="shared" ca="1" si="9"/>
        <v>-7.098879514488686E-2</v>
      </c>
      <c r="Q42" s="2">
        <f t="shared" si="10"/>
        <v>42362.679800000042</v>
      </c>
    </row>
    <row r="43" spans="1:17" x14ac:dyDescent="0.2">
      <c r="A43" s="63" t="s">
        <v>1</v>
      </c>
      <c r="B43" s="64" t="s">
        <v>114</v>
      </c>
      <c r="C43" s="65">
        <v>57051.017399999997</v>
      </c>
      <c r="D43" s="69">
        <v>1E-3</v>
      </c>
      <c r="E43">
        <f t="shared" si="6"/>
        <v>54533.967024836849</v>
      </c>
      <c r="F43">
        <f t="shared" si="1"/>
        <v>54534</v>
      </c>
      <c r="G43">
        <f t="shared" si="7"/>
        <v>-1.7507199998362921E-2</v>
      </c>
      <c r="K43">
        <f t="shared" si="8"/>
        <v>-1.7507199998362921E-2</v>
      </c>
      <c r="O43">
        <f t="shared" ca="1" si="9"/>
        <v>-7.0142088640172781E-2</v>
      </c>
      <c r="Q43" s="2">
        <f t="shared" si="10"/>
        <v>42032.517399999997</v>
      </c>
    </row>
    <row r="44" spans="1:17" x14ac:dyDescent="0.2">
      <c r="A44" s="63" t="s">
        <v>1</v>
      </c>
      <c r="B44" s="64" t="s">
        <v>114</v>
      </c>
      <c r="C44" s="65">
        <v>57061.042800000003</v>
      </c>
      <c r="D44" s="69">
        <v>1E-3</v>
      </c>
      <c r="E44">
        <f t="shared" si="6"/>
        <v>54552.850067279345</v>
      </c>
      <c r="F44">
        <f t="shared" si="1"/>
        <v>54553</v>
      </c>
      <c r="G44">
        <f t="shared" si="7"/>
        <v>-7.9602399993746076E-2</v>
      </c>
      <c r="K44">
        <f t="shared" si="8"/>
        <v>-7.9602399993746076E-2</v>
      </c>
      <c r="O44">
        <f t="shared" ca="1" si="9"/>
        <v>-7.0167952665236386E-2</v>
      </c>
      <c r="Q44" s="2">
        <f t="shared" si="10"/>
        <v>42042.542800000003</v>
      </c>
    </row>
    <row r="45" spans="1:17" x14ac:dyDescent="0.2">
      <c r="A45" s="59" t="s">
        <v>115</v>
      </c>
      <c r="B45" s="60" t="s">
        <v>2</v>
      </c>
      <c r="C45" s="61">
        <v>57368.180900000036</v>
      </c>
      <c r="D45" s="61" t="s">
        <v>57</v>
      </c>
      <c r="E45">
        <f t="shared" si="6"/>
        <v>55131.350853083997</v>
      </c>
      <c r="F45">
        <f t="shared" si="1"/>
        <v>55131.5</v>
      </c>
      <c r="G45">
        <f t="shared" si="7"/>
        <v>-7.9185199960193131E-2</v>
      </c>
      <c r="K45">
        <f t="shared" si="8"/>
        <v>-7.9185199960193131E-2</v>
      </c>
      <c r="O45">
        <f t="shared" ca="1" si="9"/>
        <v>-7.0955444165199569E-2</v>
      </c>
      <c r="Q45" s="2">
        <f t="shared" si="10"/>
        <v>42349.680900000036</v>
      </c>
    </row>
    <row r="46" spans="1:17" x14ac:dyDescent="0.2">
      <c r="A46" s="59" t="s">
        <v>115</v>
      </c>
      <c r="B46" s="60" t="s">
        <v>114</v>
      </c>
      <c r="C46" s="61">
        <v>57381.179800000042</v>
      </c>
      <c r="D46" s="61" t="s">
        <v>57</v>
      </c>
      <c r="E46">
        <f t="shared" si="6"/>
        <v>55155.834542553326</v>
      </c>
      <c r="F46">
        <f t="shared" si="1"/>
        <v>55156</v>
      </c>
      <c r="G46">
        <f t="shared" si="7"/>
        <v>-8.7844799956656061E-2</v>
      </c>
      <c r="K46">
        <f t="shared" si="8"/>
        <v>-8.7844799956656061E-2</v>
      </c>
      <c r="O46">
        <f t="shared" ca="1" si="9"/>
        <v>-7.098879514488686E-2</v>
      </c>
      <c r="Q46" s="2">
        <f t="shared" si="10"/>
        <v>42362.679800000042</v>
      </c>
    </row>
    <row r="47" spans="1:17" x14ac:dyDescent="0.2">
      <c r="A47" s="66" t="s">
        <v>0</v>
      </c>
      <c r="B47" s="67" t="s">
        <v>114</v>
      </c>
      <c r="C47" s="66">
        <v>57381.179799999998</v>
      </c>
      <c r="D47" s="66" t="s">
        <v>57</v>
      </c>
      <c r="E47">
        <f t="shared" si="6"/>
        <v>55155.834542553239</v>
      </c>
      <c r="F47">
        <f t="shared" si="1"/>
        <v>55156</v>
      </c>
      <c r="G47">
        <f t="shared" si="7"/>
        <v>-8.7844800000311807E-2</v>
      </c>
      <c r="K47">
        <f t="shared" si="8"/>
        <v>-8.7844800000311807E-2</v>
      </c>
      <c r="O47">
        <f t="shared" ca="1" si="9"/>
        <v>-7.098879514488686E-2</v>
      </c>
      <c r="Q47" s="2">
        <f t="shared" si="10"/>
        <v>42362.679799999998</v>
      </c>
    </row>
    <row r="48" spans="1:17" x14ac:dyDescent="0.2">
      <c r="A48" s="66" t="s">
        <v>0</v>
      </c>
      <c r="B48" s="67" t="s">
        <v>2</v>
      </c>
      <c r="C48" s="66">
        <v>57368.180899999999</v>
      </c>
      <c r="D48" s="66" t="s">
        <v>57</v>
      </c>
      <c r="E48">
        <f t="shared" si="6"/>
        <v>55131.350853083932</v>
      </c>
      <c r="F48">
        <f t="shared" si="1"/>
        <v>55131.5</v>
      </c>
      <c r="G48">
        <f t="shared" si="7"/>
        <v>-7.9185199996572919E-2</v>
      </c>
      <c r="K48">
        <f t="shared" si="8"/>
        <v>-7.9185199996572919E-2</v>
      </c>
      <c r="O48">
        <f t="shared" ca="1" si="9"/>
        <v>-7.0955444165199569E-2</v>
      </c>
      <c r="Q48" s="2">
        <f t="shared" si="10"/>
        <v>42349.680899999999</v>
      </c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747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6"/>
  <sheetViews>
    <sheetView topLeftCell="A5" workbookViewId="0">
      <selection activeCell="A12" sqref="A12:D2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3" t="s">
        <v>51</v>
      </c>
      <c r="I1" s="44" t="s">
        <v>52</v>
      </c>
      <c r="J1" s="45" t="s">
        <v>43</v>
      </c>
    </row>
    <row r="2" spans="1:16" x14ac:dyDescent="0.2">
      <c r="I2" s="46" t="s">
        <v>53</v>
      </c>
      <c r="J2" s="47" t="s">
        <v>42</v>
      </c>
    </row>
    <row r="3" spans="1:16" x14ac:dyDescent="0.2">
      <c r="A3" s="48" t="s">
        <v>54</v>
      </c>
      <c r="I3" s="46" t="s">
        <v>55</v>
      </c>
      <c r="J3" s="47" t="s">
        <v>40</v>
      </c>
    </row>
    <row r="4" spans="1:16" x14ac:dyDescent="0.2">
      <c r="I4" s="46" t="s">
        <v>56</v>
      </c>
      <c r="J4" s="47" t="s">
        <v>40</v>
      </c>
    </row>
    <row r="5" spans="1:16" ht="13.5" thickBot="1" x14ac:dyDescent="0.25">
      <c r="I5" s="49" t="s">
        <v>57</v>
      </c>
      <c r="J5" s="50" t="s">
        <v>41</v>
      </c>
    </row>
    <row r="10" spans="1:16" ht="13.5" thickBot="1" x14ac:dyDescent="0.25"/>
    <row r="11" spans="1:16" ht="12.75" customHeight="1" thickBot="1" x14ac:dyDescent="0.25">
      <c r="A11" s="8" t="str">
        <f t="shared" ref="A11:A28" si="0">P11</f>
        <v>BAVM 239 </v>
      </c>
      <c r="B11" s="3" t="str">
        <f t="shared" ref="B11:B28" si="1">IF(H11=INT(H11),"I","II")</f>
        <v>I</v>
      </c>
      <c r="C11" s="8">
        <f t="shared" ref="C11:C28" si="2">1*G11</f>
        <v>57000.048600000002</v>
      </c>
      <c r="D11" s="10" t="str">
        <f t="shared" ref="D11:D28" si="3">VLOOKUP(F11,I$1:J$5,2,FALSE)</f>
        <v>vis</v>
      </c>
      <c r="E11" s="51">
        <f>VLOOKUP(C11,Active!C$21:E$973,3,FALSE)</f>
        <v>54437.966265401548</v>
      </c>
      <c r="F11" s="3" t="s">
        <v>57</v>
      </c>
      <c r="G11" s="10" t="str">
        <f t="shared" ref="G11:G28" si="4">MID(I11,3,LEN(I11)-3)</f>
        <v>57000.0486</v>
      </c>
      <c r="H11" s="8">
        <f t="shared" ref="H11:H28" si="5">1*K11</f>
        <v>4591</v>
      </c>
      <c r="I11" s="52" t="s">
        <v>108</v>
      </c>
      <c r="J11" s="53" t="s">
        <v>109</v>
      </c>
      <c r="K11" s="52">
        <v>4591</v>
      </c>
      <c r="L11" s="52" t="s">
        <v>110</v>
      </c>
      <c r="M11" s="53" t="s">
        <v>111</v>
      </c>
      <c r="N11" s="53" t="s">
        <v>57</v>
      </c>
      <c r="O11" s="54" t="s">
        <v>112</v>
      </c>
      <c r="P11" s="55" t="s">
        <v>113</v>
      </c>
    </row>
    <row r="12" spans="1:16" ht="12.75" customHeight="1" thickBot="1" x14ac:dyDescent="0.25">
      <c r="A12" s="8" t="str">
        <f t="shared" si="0"/>
        <v> PLOU 109.15 </v>
      </c>
      <c r="B12" s="3" t="str">
        <f t="shared" si="1"/>
        <v>I</v>
      </c>
      <c r="C12" s="8">
        <f t="shared" si="2"/>
        <v>27429.366000000002</v>
      </c>
      <c r="D12" s="10" t="str">
        <f t="shared" si="3"/>
        <v>vis</v>
      </c>
      <c r="E12" s="51">
        <f>VLOOKUP(C12,Active!C$21:E$973,3,FALSE)</f>
        <v>-1259.0088766535375</v>
      </c>
      <c r="F12" s="3" t="s">
        <v>57</v>
      </c>
      <c r="G12" s="10" t="str">
        <f t="shared" si="4"/>
        <v>27429.366</v>
      </c>
      <c r="H12" s="8">
        <f t="shared" si="5"/>
        <v>-51106</v>
      </c>
      <c r="I12" s="52" t="s">
        <v>58</v>
      </c>
      <c r="J12" s="53" t="s">
        <v>59</v>
      </c>
      <c r="K12" s="52">
        <v>-51106</v>
      </c>
      <c r="L12" s="52" t="s">
        <v>60</v>
      </c>
      <c r="M12" s="53" t="s">
        <v>61</v>
      </c>
      <c r="N12" s="53"/>
      <c r="O12" s="54" t="s">
        <v>62</v>
      </c>
      <c r="P12" s="54" t="s">
        <v>63</v>
      </c>
    </row>
    <row r="13" spans="1:16" ht="12.75" customHeight="1" thickBot="1" x14ac:dyDescent="0.25">
      <c r="A13" s="8" t="str">
        <f t="shared" si="0"/>
        <v> PLOU 109.15 </v>
      </c>
      <c r="B13" s="3" t="str">
        <f t="shared" si="1"/>
        <v>I</v>
      </c>
      <c r="C13" s="8">
        <f t="shared" si="2"/>
        <v>27446.364000000001</v>
      </c>
      <c r="D13" s="10" t="str">
        <f t="shared" si="3"/>
        <v>vis</v>
      </c>
      <c r="E13" s="51">
        <f>VLOOKUP(C13,Active!C$21:E$973,3,FALSE)</f>
        <v>-1226.9928019395697</v>
      </c>
      <c r="F13" s="3" t="s">
        <v>57</v>
      </c>
      <c r="G13" s="10" t="str">
        <f t="shared" si="4"/>
        <v>27446.364</v>
      </c>
      <c r="H13" s="8">
        <f t="shared" si="5"/>
        <v>-51074</v>
      </c>
      <c r="I13" s="52" t="s">
        <v>64</v>
      </c>
      <c r="J13" s="53" t="s">
        <v>65</v>
      </c>
      <c r="K13" s="52">
        <v>-51074</v>
      </c>
      <c r="L13" s="52" t="s">
        <v>66</v>
      </c>
      <c r="M13" s="53" t="s">
        <v>61</v>
      </c>
      <c r="N13" s="53"/>
      <c r="O13" s="54" t="s">
        <v>62</v>
      </c>
      <c r="P13" s="54" t="s">
        <v>63</v>
      </c>
    </row>
    <row r="14" spans="1:16" ht="12.75" customHeight="1" thickBot="1" x14ac:dyDescent="0.25">
      <c r="A14" s="8" t="str">
        <f t="shared" si="0"/>
        <v> PLOU 109.15 </v>
      </c>
      <c r="B14" s="3" t="str">
        <f t="shared" si="1"/>
        <v>I</v>
      </c>
      <c r="C14" s="8">
        <f t="shared" si="2"/>
        <v>27514.315999999999</v>
      </c>
      <c r="D14" s="10" t="str">
        <f t="shared" si="3"/>
        <v>vis</v>
      </c>
      <c r="E14" s="51">
        <f>VLOOKUP(C14,Active!C$21:E$973,3,FALSE)</f>
        <v>-1099.0038438878273</v>
      </c>
      <c r="F14" s="3" t="s">
        <v>57</v>
      </c>
      <c r="G14" s="10" t="str">
        <f t="shared" si="4"/>
        <v>27514.316</v>
      </c>
      <c r="H14" s="8">
        <f t="shared" si="5"/>
        <v>-50946</v>
      </c>
      <c r="I14" s="52" t="s">
        <v>67</v>
      </c>
      <c r="J14" s="53" t="s">
        <v>68</v>
      </c>
      <c r="K14" s="52">
        <v>-50946</v>
      </c>
      <c r="L14" s="52" t="s">
        <v>69</v>
      </c>
      <c r="M14" s="53" t="s">
        <v>61</v>
      </c>
      <c r="N14" s="53"/>
      <c r="O14" s="54" t="s">
        <v>62</v>
      </c>
      <c r="P14" s="54" t="s">
        <v>63</v>
      </c>
    </row>
    <row r="15" spans="1:16" ht="12.75" customHeight="1" thickBot="1" x14ac:dyDescent="0.25">
      <c r="A15" s="8" t="str">
        <f t="shared" si="0"/>
        <v> PLOU 109.15 </v>
      </c>
      <c r="B15" s="3" t="str">
        <f t="shared" si="1"/>
        <v>I</v>
      </c>
      <c r="C15" s="8">
        <f t="shared" si="2"/>
        <v>27547.232</v>
      </c>
      <c r="D15" s="10" t="str">
        <f t="shared" si="3"/>
        <v>vis</v>
      </c>
      <c r="E15" s="51">
        <f>VLOOKUP(C15,Active!C$21:E$973,3,FALSE)</f>
        <v>-1037.0058961713298</v>
      </c>
      <c r="F15" s="3" t="s">
        <v>57</v>
      </c>
      <c r="G15" s="10" t="str">
        <f t="shared" si="4"/>
        <v>27547.232</v>
      </c>
      <c r="H15" s="8">
        <f t="shared" si="5"/>
        <v>-50884</v>
      </c>
      <c r="I15" s="52" t="s">
        <v>70</v>
      </c>
      <c r="J15" s="53" t="s">
        <v>71</v>
      </c>
      <c r="K15" s="52">
        <v>-50884</v>
      </c>
      <c r="L15" s="52" t="s">
        <v>72</v>
      </c>
      <c r="M15" s="53" t="s">
        <v>61</v>
      </c>
      <c r="N15" s="53"/>
      <c r="O15" s="54" t="s">
        <v>62</v>
      </c>
      <c r="P15" s="54" t="s">
        <v>63</v>
      </c>
    </row>
    <row r="16" spans="1:16" ht="12.75" customHeight="1" thickBot="1" x14ac:dyDescent="0.25">
      <c r="A16" s="8" t="str">
        <f t="shared" si="0"/>
        <v> PLOU 109.15 </v>
      </c>
      <c r="B16" s="3" t="str">
        <f t="shared" si="1"/>
        <v>I</v>
      </c>
      <c r="C16" s="8">
        <f t="shared" si="2"/>
        <v>27690.594000000001</v>
      </c>
      <c r="D16" s="10" t="str">
        <f t="shared" si="3"/>
        <v>vis</v>
      </c>
      <c r="E16" s="51">
        <f>VLOOKUP(C16,Active!C$21:E$973,3,FALSE)</f>
        <v>-766.98068713826683</v>
      </c>
      <c r="F16" s="3" t="s">
        <v>57</v>
      </c>
      <c r="G16" s="10" t="str">
        <f t="shared" si="4"/>
        <v>27690.594</v>
      </c>
      <c r="H16" s="8">
        <f t="shared" si="5"/>
        <v>-50614</v>
      </c>
      <c r="I16" s="52" t="s">
        <v>73</v>
      </c>
      <c r="J16" s="53" t="s">
        <v>74</v>
      </c>
      <c r="K16" s="52">
        <v>-50614</v>
      </c>
      <c r="L16" s="52" t="s">
        <v>75</v>
      </c>
      <c r="M16" s="53" t="s">
        <v>61</v>
      </c>
      <c r="N16" s="53"/>
      <c r="O16" s="54" t="s">
        <v>62</v>
      </c>
      <c r="P16" s="54" t="s">
        <v>63</v>
      </c>
    </row>
    <row r="17" spans="1:16" ht="12.75" customHeight="1" thickBot="1" x14ac:dyDescent="0.25">
      <c r="A17" s="8" t="str">
        <f t="shared" si="0"/>
        <v> PLOU 109.15 </v>
      </c>
      <c r="B17" s="3" t="str">
        <f t="shared" si="1"/>
        <v>I</v>
      </c>
      <c r="C17" s="8">
        <f t="shared" si="2"/>
        <v>27723.499</v>
      </c>
      <c r="D17" s="10" t="str">
        <f t="shared" si="3"/>
        <v>vis</v>
      </c>
      <c r="E17" s="51">
        <f>VLOOKUP(C17,Active!C$21:E$973,3,FALSE)</f>
        <v>-705.00345814290847</v>
      </c>
      <c r="F17" s="3" t="s">
        <v>57</v>
      </c>
      <c r="G17" s="10" t="str">
        <f t="shared" si="4"/>
        <v>27723.499</v>
      </c>
      <c r="H17" s="8">
        <f t="shared" si="5"/>
        <v>-50552</v>
      </c>
      <c r="I17" s="52" t="s">
        <v>76</v>
      </c>
      <c r="J17" s="53" t="s">
        <v>77</v>
      </c>
      <c r="K17" s="52">
        <v>-50552</v>
      </c>
      <c r="L17" s="52" t="s">
        <v>69</v>
      </c>
      <c r="M17" s="53" t="s">
        <v>61</v>
      </c>
      <c r="N17" s="53"/>
      <c r="O17" s="54" t="s">
        <v>62</v>
      </c>
      <c r="P17" s="54" t="s">
        <v>63</v>
      </c>
    </row>
    <row r="18" spans="1:16" ht="12.75" customHeight="1" thickBot="1" x14ac:dyDescent="0.25">
      <c r="A18" s="8" t="str">
        <f t="shared" si="0"/>
        <v> PLOU 109.15 </v>
      </c>
      <c r="B18" s="3" t="str">
        <f t="shared" si="1"/>
        <v>I</v>
      </c>
      <c r="C18" s="8">
        <f t="shared" si="2"/>
        <v>27865.26</v>
      </c>
      <c r="D18" s="10" t="str">
        <f t="shared" si="3"/>
        <v>vis</v>
      </c>
      <c r="E18" s="51">
        <f>VLOOKUP(C18,Active!C$21:E$973,3,FALSE)</f>
        <v>-437.99376479505207</v>
      </c>
      <c r="F18" s="3" t="s">
        <v>57</v>
      </c>
      <c r="G18" s="10" t="str">
        <f t="shared" si="4"/>
        <v>27865.260</v>
      </c>
      <c r="H18" s="8">
        <f t="shared" si="5"/>
        <v>-50285</v>
      </c>
      <c r="I18" s="52" t="s">
        <v>78</v>
      </c>
      <c r="J18" s="53" t="s">
        <v>79</v>
      </c>
      <c r="K18" s="52">
        <v>-50285</v>
      </c>
      <c r="L18" s="52" t="s">
        <v>80</v>
      </c>
      <c r="M18" s="53" t="s">
        <v>61</v>
      </c>
      <c r="N18" s="53"/>
      <c r="O18" s="54" t="s">
        <v>62</v>
      </c>
      <c r="P18" s="54" t="s">
        <v>63</v>
      </c>
    </row>
    <row r="19" spans="1:16" ht="12.75" customHeight="1" thickBot="1" x14ac:dyDescent="0.25">
      <c r="A19" s="8" t="str">
        <f t="shared" si="0"/>
        <v> PLOU 109.15 </v>
      </c>
      <c r="B19" s="3" t="str">
        <f t="shared" si="1"/>
        <v>I</v>
      </c>
      <c r="C19" s="8">
        <f t="shared" si="2"/>
        <v>27891.277999999998</v>
      </c>
      <c r="D19" s="10" t="str">
        <f t="shared" si="3"/>
        <v>vis</v>
      </c>
      <c r="E19" s="51">
        <f>VLOOKUP(C19,Active!C$21:E$973,3,FALSE)</f>
        <v>-388.98833875033876</v>
      </c>
      <c r="F19" s="3" t="s">
        <v>57</v>
      </c>
      <c r="G19" s="10" t="str">
        <f t="shared" si="4"/>
        <v>27891.278</v>
      </c>
      <c r="H19" s="8">
        <f t="shared" si="5"/>
        <v>-50236</v>
      </c>
      <c r="I19" s="52" t="s">
        <v>81</v>
      </c>
      <c r="J19" s="53" t="s">
        <v>82</v>
      </c>
      <c r="K19" s="52">
        <v>-50236</v>
      </c>
      <c r="L19" s="52" t="s">
        <v>83</v>
      </c>
      <c r="M19" s="53" t="s">
        <v>61</v>
      </c>
      <c r="N19" s="53"/>
      <c r="O19" s="54" t="s">
        <v>62</v>
      </c>
      <c r="P19" s="54" t="s">
        <v>63</v>
      </c>
    </row>
    <row r="20" spans="1:16" ht="12.75" customHeight="1" thickBot="1" x14ac:dyDescent="0.25">
      <c r="A20" s="8" t="str">
        <f t="shared" si="0"/>
        <v> PLOU 109.15 </v>
      </c>
      <c r="B20" s="3" t="str">
        <f t="shared" si="1"/>
        <v>I</v>
      </c>
      <c r="C20" s="8">
        <f t="shared" si="2"/>
        <v>28133.368999999999</v>
      </c>
      <c r="D20" s="10" t="str">
        <f t="shared" si="3"/>
        <v>vis</v>
      </c>
      <c r="E20" s="51">
        <f>VLOOKUP(C20,Active!C$21:E$973,3,FALSE)</f>
        <v>66.994926550249133</v>
      </c>
      <c r="F20" s="3" t="s">
        <v>57</v>
      </c>
      <c r="G20" s="10" t="str">
        <f t="shared" si="4"/>
        <v>28133.369</v>
      </c>
      <c r="H20" s="8">
        <f t="shared" si="5"/>
        <v>-49780</v>
      </c>
      <c r="I20" s="52" t="s">
        <v>84</v>
      </c>
      <c r="J20" s="53" t="s">
        <v>85</v>
      </c>
      <c r="K20" s="52">
        <v>-49780</v>
      </c>
      <c r="L20" s="52" t="s">
        <v>72</v>
      </c>
      <c r="M20" s="53" t="s">
        <v>61</v>
      </c>
      <c r="N20" s="53"/>
      <c r="O20" s="54" t="s">
        <v>62</v>
      </c>
      <c r="P20" s="54" t="s">
        <v>63</v>
      </c>
    </row>
    <row r="21" spans="1:16" ht="12.75" customHeight="1" thickBot="1" x14ac:dyDescent="0.25">
      <c r="A21" s="8" t="str">
        <f t="shared" si="0"/>
        <v> PLOU 109.15 </v>
      </c>
      <c r="B21" s="3" t="str">
        <f t="shared" si="1"/>
        <v>I</v>
      </c>
      <c r="C21" s="8">
        <f t="shared" si="2"/>
        <v>28159.419000000002</v>
      </c>
      <c r="D21" s="10" t="str">
        <f t="shared" si="3"/>
        <v>vis</v>
      </c>
      <c r="E21" s="51">
        <f>VLOOKUP(C21,Active!C$21:E$973,3,FALSE)</f>
        <v>116.06062523826985</v>
      </c>
      <c r="F21" s="3" t="s">
        <v>57</v>
      </c>
      <c r="G21" s="10" t="str">
        <f t="shared" si="4"/>
        <v>28159.419</v>
      </c>
      <c r="H21" s="8">
        <f t="shared" si="5"/>
        <v>-49731</v>
      </c>
      <c r="I21" s="52" t="s">
        <v>86</v>
      </c>
      <c r="J21" s="53" t="s">
        <v>87</v>
      </c>
      <c r="K21" s="52">
        <v>-49731</v>
      </c>
      <c r="L21" s="52" t="s">
        <v>88</v>
      </c>
      <c r="M21" s="53" t="s">
        <v>61</v>
      </c>
      <c r="N21" s="53"/>
      <c r="O21" s="54" t="s">
        <v>62</v>
      </c>
      <c r="P21" s="54" t="s">
        <v>63</v>
      </c>
    </row>
    <row r="22" spans="1:16" ht="12.75" customHeight="1" thickBot="1" x14ac:dyDescent="0.25">
      <c r="A22" s="8" t="str">
        <f t="shared" si="0"/>
        <v> PLOU 109.15 </v>
      </c>
      <c r="B22" s="3" t="str">
        <f t="shared" si="1"/>
        <v>I</v>
      </c>
      <c r="C22" s="8">
        <f t="shared" si="2"/>
        <v>28167.345000000001</v>
      </c>
      <c r="D22" s="10" t="str">
        <f t="shared" si="3"/>
        <v>vis</v>
      </c>
      <c r="E22" s="51">
        <f>VLOOKUP(C22,Active!C$21:E$973,3,FALSE)</f>
        <v>130.98940557612715</v>
      </c>
      <c r="F22" s="3" t="s">
        <v>57</v>
      </c>
      <c r="G22" s="10" t="str">
        <f t="shared" si="4"/>
        <v>28167.345</v>
      </c>
      <c r="H22" s="8">
        <f t="shared" si="5"/>
        <v>-49716</v>
      </c>
      <c r="I22" s="52" t="s">
        <v>89</v>
      </c>
      <c r="J22" s="53" t="s">
        <v>90</v>
      </c>
      <c r="K22" s="52">
        <v>-49716</v>
      </c>
      <c r="L22" s="52" t="s">
        <v>60</v>
      </c>
      <c r="M22" s="53" t="s">
        <v>61</v>
      </c>
      <c r="N22" s="53"/>
      <c r="O22" s="54" t="s">
        <v>62</v>
      </c>
      <c r="P22" s="54" t="s">
        <v>63</v>
      </c>
    </row>
    <row r="23" spans="1:16" ht="12.75" customHeight="1" thickBot="1" x14ac:dyDescent="0.25">
      <c r="A23" s="8" t="str">
        <f t="shared" si="0"/>
        <v> PLOU 109.15 </v>
      </c>
      <c r="B23" s="3" t="str">
        <f t="shared" si="1"/>
        <v>I</v>
      </c>
      <c r="C23" s="8">
        <f t="shared" si="2"/>
        <v>28184.357</v>
      </c>
      <c r="D23" s="10" t="str">
        <f t="shared" si="3"/>
        <v>vis</v>
      </c>
      <c r="E23" s="51">
        <f>VLOOKUP(C23,Active!C$21:E$973,3,FALSE)</f>
        <v>163.03184957153817</v>
      </c>
      <c r="F23" s="3" t="s">
        <v>57</v>
      </c>
      <c r="G23" s="10" t="str">
        <f t="shared" si="4"/>
        <v>28184.357</v>
      </c>
      <c r="H23" s="8">
        <f t="shared" si="5"/>
        <v>-49684</v>
      </c>
      <c r="I23" s="52" t="s">
        <v>91</v>
      </c>
      <c r="J23" s="53" t="s">
        <v>92</v>
      </c>
      <c r="K23" s="52">
        <v>-49684</v>
      </c>
      <c r="L23" s="52" t="s">
        <v>93</v>
      </c>
      <c r="M23" s="53" t="s">
        <v>61</v>
      </c>
      <c r="N23" s="53"/>
      <c r="O23" s="54" t="s">
        <v>62</v>
      </c>
      <c r="P23" s="54" t="s">
        <v>63</v>
      </c>
    </row>
    <row r="24" spans="1:16" ht="12.75" customHeight="1" thickBot="1" x14ac:dyDescent="0.25">
      <c r="A24" s="8" t="str">
        <f t="shared" si="0"/>
        <v> PLOU 109.15 </v>
      </c>
      <c r="B24" s="3" t="str">
        <f t="shared" si="1"/>
        <v>I</v>
      </c>
      <c r="C24" s="8">
        <f t="shared" si="2"/>
        <v>28436.547999999999</v>
      </c>
      <c r="D24" s="10" t="str">
        <f t="shared" si="3"/>
        <v>vis</v>
      </c>
      <c r="E24" s="51">
        <f>VLOOKUP(C24,Active!C$21:E$973,3,FALSE)</f>
        <v>638.0386679143096</v>
      </c>
      <c r="F24" s="3" t="s">
        <v>57</v>
      </c>
      <c r="G24" s="10" t="str">
        <f t="shared" si="4"/>
        <v>28436.548</v>
      </c>
      <c r="H24" s="8">
        <f t="shared" si="5"/>
        <v>-49209</v>
      </c>
      <c r="I24" s="52" t="s">
        <v>94</v>
      </c>
      <c r="J24" s="53" t="s">
        <v>95</v>
      </c>
      <c r="K24" s="52">
        <v>-49209</v>
      </c>
      <c r="L24" s="52" t="s">
        <v>96</v>
      </c>
      <c r="M24" s="53" t="s">
        <v>61</v>
      </c>
      <c r="N24" s="53"/>
      <c r="O24" s="54" t="s">
        <v>62</v>
      </c>
      <c r="P24" s="54" t="s">
        <v>63</v>
      </c>
    </row>
    <row r="25" spans="1:16" ht="12.75" customHeight="1" thickBot="1" x14ac:dyDescent="0.25">
      <c r="A25" s="8" t="str">
        <f t="shared" si="0"/>
        <v> PLOU 109.15 </v>
      </c>
      <c r="B25" s="3" t="str">
        <f t="shared" si="1"/>
        <v>I</v>
      </c>
      <c r="C25" s="8">
        <f t="shared" si="2"/>
        <v>28572.45</v>
      </c>
      <c r="D25" s="10" t="str">
        <f t="shared" si="3"/>
        <v>vis</v>
      </c>
      <c r="E25" s="51">
        <f>VLOOKUP(C25,Active!C$21:E$973,3,FALSE)</f>
        <v>894.01281697760101</v>
      </c>
      <c r="F25" s="3" t="s">
        <v>57</v>
      </c>
      <c r="G25" s="10" t="str">
        <f t="shared" si="4"/>
        <v>28572.450</v>
      </c>
      <c r="H25" s="8">
        <f t="shared" si="5"/>
        <v>-48953</v>
      </c>
      <c r="I25" s="52" t="s">
        <v>97</v>
      </c>
      <c r="J25" s="53" t="s">
        <v>98</v>
      </c>
      <c r="K25" s="52">
        <v>-48953</v>
      </c>
      <c r="L25" s="52" t="s">
        <v>99</v>
      </c>
      <c r="M25" s="53" t="s">
        <v>61</v>
      </c>
      <c r="N25" s="53"/>
      <c r="O25" s="54" t="s">
        <v>62</v>
      </c>
      <c r="P25" s="54" t="s">
        <v>63</v>
      </c>
    </row>
    <row r="26" spans="1:16" ht="12.75" customHeight="1" thickBot="1" x14ac:dyDescent="0.25">
      <c r="A26" s="8" t="str">
        <f t="shared" si="0"/>
        <v> PLOU 109.15 </v>
      </c>
      <c r="B26" s="3" t="str">
        <f t="shared" si="1"/>
        <v>I</v>
      </c>
      <c r="C26" s="8">
        <f t="shared" si="2"/>
        <v>28595.267</v>
      </c>
      <c r="D26" s="10" t="str">
        <f t="shared" si="3"/>
        <v>vis</v>
      </c>
      <c r="E26" s="51">
        <f>VLOOKUP(C26,Active!C$21:E$973,3,FALSE)</f>
        <v>936.98909517201173</v>
      </c>
      <c r="F26" s="3" t="s">
        <v>57</v>
      </c>
      <c r="G26" s="10" t="str">
        <f t="shared" si="4"/>
        <v>28595.267</v>
      </c>
      <c r="H26" s="8">
        <f t="shared" si="5"/>
        <v>-48910</v>
      </c>
      <c r="I26" s="52" t="s">
        <v>100</v>
      </c>
      <c r="J26" s="53" t="s">
        <v>101</v>
      </c>
      <c r="K26" s="52">
        <v>-48910</v>
      </c>
      <c r="L26" s="52" t="s">
        <v>60</v>
      </c>
      <c r="M26" s="53" t="s">
        <v>61</v>
      </c>
      <c r="N26" s="53"/>
      <c r="O26" s="54" t="s">
        <v>62</v>
      </c>
      <c r="P26" s="54" t="s">
        <v>63</v>
      </c>
    </row>
    <row r="27" spans="1:16" ht="12.75" customHeight="1" thickBot="1" x14ac:dyDescent="0.25">
      <c r="A27" s="8" t="str">
        <f t="shared" si="0"/>
        <v> PLOU 109.15 </v>
      </c>
      <c r="B27" s="3" t="str">
        <f t="shared" si="1"/>
        <v>I</v>
      </c>
      <c r="C27" s="8">
        <f t="shared" si="2"/>
        <v>28603.248</v>
      </c>
      <c r="D27" s="10" t="str">
        <f t="shared" si="3"/>
        <v>vis</v>
      </c>
      <c r="E27" s="51">
        <f>VLOOKUP(C27,Active!C$21:E$973,3,FALSE)</f>
        <v>952.02146911554485</v>
      </c>
      <c r="F27" s="3" t="s">
        <v>57</v>
      </c>
      <c r="G27" s="10" t="str">
        <f t="shared" si="4"/>
        <v>28603.248</v>
      </c>
      <c r="H27" s="8">
        <f t="shared" si="5"/>
        <v>-48895</v>
      </c>
      <c r="I27" s="52" t="s">
        <v>102</v>
      </c>
      <c r="J27" s="53" t="s">
        <v>103</v>
      </c>
      <c r="K27" s="52">
        <v>-48895</v>
      </c>
      <c r="L27" s="52" t="s">
        <v>104</v>
      </c>
      <c r="M27" s="53" t="s">
        <v>61</v>
      </c>
      <c r="N27" s="53"/>
      <c r="O27" s="54" t="s">
        <v>62</v>
      </c>
      <c r="P27" s="54" t="s">
        <v>63</v>
      </c>
    </row>
    <row r="28" spans="1:16" ht="12.75" customHeight="1" thickBot="1" x14ac:dyDescent="0.25">
      <c r="A28" s="8" t="str">
        <f t="shared" si="0"/>
        <v> PLOU 109.15 </v>
      </c>
      <c r="B28" s="3" t="str">
        <f t="shared" si="1"/>
        <v>I</v>
      </c>
      <c r="C28" s="8">
        <f t="shared" si="2"/>
        <v>29577.466</v>
      </c>
      <c r="D28" s="10" t="str">
        <f t="shared" si="3"/>
        <v>vis</v>
      </c>
      <c r="E28" s="51">
        <f>VLOOKUP(C28,Active!C$21:E$973,3,FALSE)</f>
        <v>2786.9806570019505</v>
      </c>
      <c r="F28" s="3" t="s">
        <v>57</v>
      </c>
      <c r="G28" s="10" t="str">
        <f t="shared" si="4"/>
        <v>29577.466</v>
      </c>
      <c r="H28" s="8">
        <f t="shared" si="5"/>
        <v>-47060</v>
      </c>
      <c r="I28" s="52" t="s">
        <v>105</v>
      </c>
      <c r="J28" s="53" t="s">
        <v>106</v>
      </c>
      <c r="K28" s="52">
        <v>-47060</v>
      </c>
      <c r="L28" s="52" t="s">
        <v>107</v>
      </c>
      <c r="M28" s="53" t="s">
        <v>61</v>
      </c>
      <c r="N28" s="53"/>
      <c r="O28" s="54" t="s">
        <v>62</v>
      </c>
      <c r="P28" s="54" t="s">
        <v>63</v>
      </c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</sheetData>
  <phoneticPr fontId="8" type="noConversion"/>
  <hyperlinks>
    <hyperlink ref="P11" r:id="rId1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2024-01-26T03:40:38Z</dcterms:modified>
</cp:coreProperties>
</file>