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BD50C7D-831D-412A-AA8D-CE8675F17F0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3" i="1" l="1"/>
  <c r="E23" i="1" s="1"/>
  <c r="F23" i="1" s="1"/>
  <c r="G23" i="1" s="1"/>
  <c r="H23" i="1" s="1"/>
  <c r="Q21" i="1"/>
  <c r="Q22" i="1"/>
  <c r="Q24" i="1"/>
  <c r="Q25" i="1"/>
  <c r="Q26" i="1"/>
  <c r="Q27" i="1"/>
  <c r="Q28" i="1"/>
  <c r="Q29" i="1"/>
  <c r="Q30" i="1"/>
  <c r="G23" i="2"/>
  <c r="C23" i="2"/>
  <c r="G13" i="2"/>
  <c r="C13" i="2"/>
  <c r="G12" i="2"/>
  <c r="C12" i="2"/>
  <c r="G11" i="2"/>
  <c r="C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23" i="2"/>
  <c r="D23" i="2"/>
  <c r="B23" i="2"/>
  <c r="A23" i="2"/>
  <c r="H13" i="2"/>
  <c r="B13" i="2"/>
  <c r="D13" i="2"/>
  <c r="A13" i="2"/>
  <c r="H12" i="2"/>
  <c r="D12" i="2"/>
  <c r="B12" i="2"/>
  <c r="A12" i="2"/>
  <c r="H11" i="2"/>
  <c r="B11" i="2"/>
  <c r="D11" i="2"/>
  <c r="A1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G11" i="1"/>
  <c r="F11" i="1"/>
  <c r="E14" i="1"/>
  <c r="C17" i="1"/>
  <c r="Q31" i="1"/>
  <c r="Q32" i="1"/>
  <c r="Q33" i="1"/>
  <c r="Q34" i="1"/>
  <c r="C7" i="1"/>
  <c r="C8" i="1"/>
  <c r="E24" i="1" s="1"/>
  <c r="Q23" i="1"/>
  <c r="E13" i="2"/>
  <c r="E29" i="1"/>
  <c r="F29" i="1" s="1"/>
  <c r="G29" i="1" s="1"/>
  <c r="I29" i="1" s="1"/>
  <c r="E34" i="1"/>
  <c r="F34" i="1" s="1"/>
  <c r="G34" i="1" s="1"/>
  <c r="K34" i="1" s="1"/>
  <c r="E31" i="1"/>
  <c r="F31" i="1" s="1"/>
  <c r="G31" i="1" s="1"/>
  <c r="K31" i="1" s="1"/>
  <c r="E33" i="1"/>
  <c r="F33" i="1" s="1"/>
  <c r="G33" i="1" s="1"/>
  <c r="K33" i="1" s="1"/>
  <c r="E30" i="1"/>
  <c r="F30" i="1" s="1"/>
  <c r="G30" i="1" s="1"/>
  <c r="I30" i="1" s="1"/>
  <c r="E27" i="1"/>
  <c r="F27" i="1" s="1"/>
  <c r="G27" i="1" s="1"/>
  <c r="I27" i="1" s="1"/>
  <c r="E21" i="2"/>
  <c r="E11" i="2"/>
  <c r="E22" i="2"/>
  <c r="E23" i="2"/>
  <c r="E16" i="2" l="1"/>
  <c r="F24" i="1"/>
  <c r="G24" i="1" s="1"/>
  <c r="I24" i="1" s="1"/>
  <c r="E19" i="2"/>
  <c r="E28" i="1"/>
  <c r="E15" i="1"/>
  <c r="E25" i="1"/>
  <c r="E22" i="1"/>
  <c r="E26" i="1"/>
  <c r="E32" i="1"/>
  <c r="E21" i="1"/>
  <c r="E18" i="2" l="1"/>
  <c r="F26" i="1"/>
  <c r="G26" i="1" s="1"/>
  <c r="I26" i="1" s="1"/>
  <c r="E15" i="2"/>
  <c r="F22" i="1"/>
  <c r="G22" i="1" s="1"/>
  <c r="I22" i="1" s="1"/>
  <c r="E17" i="2"/>
  <c r="F25" i="1"/>
  <c r="G25" i="1" s="1"/>
  <c r="I25" i="1" s="1"/>
  <c r="E14" i="2"/>
  <c r="F21" i="1"/>
  <c r="G21" i="1" s="1"/>
  <c r="E12" i="2"/>
  <c r="F32" i="1"/>
  <c r="G32" i="1" s="1"/>
  <c r="K32" i="1" s="1"/>
  <c r="F28" i="1"/>
  <c r="G28" i="1" s="1"/>
  <c r="I28" i="1" s="1"/>
  <c r="E20" i="2"/>
  <c r="C12" i="1"/>
  <c r="C11" i="1"/>
  <c r="O27" i="1" l="1"/>
  <c r="O30" i="1"/>
  <c r="O31" i="1"/>
  <c r="O25" i="1"/>
  <c r="O23" i="1"/>
  <c r="O28" i="1"/>
  <c r="O32" i="1"/>
  <c r="O34" i="1"/>
  <c r="O24" i="1"/>
  <c r="O29" i="1"/>
  <c r="C15" i="1"/>
  <c r="O22" i="1"/>
  <c r="O21" i="1"/>
  <c r="O26" i="1"/>
  <c r="O33" i="1"/>
  <c r="C16" i="1"/>
  <c r="D18" i="1" s="1"/>
  <c r="I21" i="1"/>
  <c r="C18" i="1" l="1"/>
  <c r="E16" i="1"/>
  <c r="E17" i="1" s="1"/>
</calcChain>
</file>

<file path=xl/sharedStrings.xml><?xml version="1.0" encoding="utf-8"?>
<sst xmlns="http://schemas.openxmlformats.org/spreadsheetml/2006/main" count="188" uniqueCount="107">
  <si>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</si>
  <si>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</si>
  <si>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</si>
  <si>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</si>
  <si>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</si>
  <si>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</si>
  <si>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</si>
  <si>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</si>
  <si>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</si>
  <si>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</si>
  <si>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</si>
  <si>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</si>
  <si>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</si>
  <si>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</si>
  <si>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</si>
  <si>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</si>
  <si>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</si>
  <si>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</si>
  <si>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</si>
  <si>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</si>
  <si>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</si>
  <si>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</si>
  <si>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</si>
  <si>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</si>
  <si>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</si>
  <si>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</si>
  <si>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</si>
  <si>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</si>
  <si>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</si>
  <si>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</si>
  <si>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</si>
  <si>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</si>
  <si>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</si>
  <si>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</si>
  <si>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</si>
  <si>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CV CMa / GSC 5659-2479</t>
  </si>
  <si>
    <t xml:space="preserve">EW/KW     </t>
  </si>
  <si>
    <t>I</t>
  </si>
  <si>
    <t>IBVS 5595</t>
  </si>
  <si>
    <t>IBVS 5745</t>
  </si>
  <si>
    <t>II</t>
  </si>
  <si>
    <t>IBVS 5806</t>
  </si>
  <si>
    <t>Add cycle</t>
  </si>
  <si>
    <t>Old Cycle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</si>
  <si>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</si>
  <si>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</si>
  <si>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</si>
  <si>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</si>
  <si>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</si>
  <si>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</si>
  <si>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</si>
  <si>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</si>
  <si>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</si>
  <si>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</si>
  <si>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</si>
  <si>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</si>
  <si>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2427424.39 </t>
  </si>
  <si>
    <t> 17.12.1933 21:21 </t>
  </si>
  <si>
    <t> 0.01 </t>
  </si>
  <si>
    <t>P </t>
  </si>
  <si>
    <t> V.Hoof &amp; Deurinck </t>
  </si>
  <si>
    <t> PLOU 111.5 </t>
  </si>
  <si>
    <t>2427834.33 </t>
  </si>
  <si>
    <t> 31.01.1935 19:55 </t>
  </si>
  <si>
    <t> -0.04 </t>
  </si>
  <si>
    <t>2428077.50 </t>
  </si>
  <si>
    <t> 02.10.1935 00:00 </t>
  </si>
  <si>
    <t> 0.04 </t>
  </si>
  <si>
    <t>2428191.27 </t>
  </si>
  <si>
    <t> 23.01.1936 18:28 </t>
  </si>
  <si>
    <t> -0.29 </t>
  </si>
  <si>
    <t>2428215.31 </t>
  </si>
  <si>
    <t> 16.02.1936 19:26 </t>
  </si>
  <si>
    <t> -0.03 </t>
  </si>
  <si>
    <t>2428220.25 </t>
  </si>
  <si>
    <t> 21.02.1936 18:00 </t>
  </si>
  <si>
    <t> -0.34 </t>
  </si>
  <si>
    <t>2428249.28 </t>
  </si>
  <si>
    <t> 21.03.1936 18:43 </t>
  </si>
  <si>
    <t>2428567.31 </t>
  </si>
  <si>
    <t> 02.02.1937 19:26 </t>
  </si>
  <si>
    <t> 0.03 </t>
  </si>
  <si>
    <t>2428601.25 </t>
  </si>
  <si>
    <t> 08.03.1937 18:00 </t>
  </si>
  <si>
    <t> -0.31 </t>
  </si>
  <si>
    <t>2453101.5918 </t>
  </si>
  <si>
    <t> 06.04.2004 02:12 </t>
  </si>
  <si>
    <t> -0.0002 </t>
  </si>
  <si>
    <t>E </t>
  </si>
  <si>
    <t>?</t>
  </si>
  <si>
    <t> Caton &amp; Smith </t>
  </si>
  <si>
    <t>IBVS 5595 </t>
  </si>
  <si>
    <t>2453442.6562 </t>
  </si>
  <si>
    <t> 13.03.2005 03:44 </t>
  </si>
  <si>
    <t> 0.0075 </t>
  </si>
  <si>
    <t> Smith &amp; Caton </t>
  </si>
  <si>
    <t>IBVS 5745 </t>
  </si>
  <si>
    <t>2453451.5749 </t>
  </si>
  <si>
    <t> 22.03.2005 01:47 </t>
  </si>
  <si>
    <t> 0.0468 </t>
  </si>
  <si>
    <t>2454044.9377 </t>
  </si>
  <si>
    <t> 05.11.2006 10:30 </t>
  </si>
  <si>
    <t> -0.0026 </t>
  </si>
  <si>
    <t>C </t>
  </si>
  <si>
    <t>o</t>
  </si>
  <si>
    <t> T.Krajci </t>
  </si>
  <si>
    <t>IBVS 5806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</si>
</sst>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5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CMa - O-C Diagr.</a:t>
            </a:r>
          </a:p>
        </c:rich>
      </c:tx>
      <c:layout>
        <c:manualLayout>
          <c:xMode val="edge"/>
          <c:yMode val="edge"/>
          <c:x val="0.3792055350879304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1150449085031"/>
          <c:y val="0.14678942920199375"/>
          <c:w val="0.822631197784065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-171</c:v>
                </c:pt>
                <c:pt idx="1">
                  <c:v>-58</c:v>
                </c:pt>
                <c:pt idx="2">
                  <c:v>-7729.5</c:v>
                </c:pt>
                <c:pt idx="3">
                  <c:v>9</c:v>
                </c:pt>
                <c:pt idx="4">
                  <c:v>40.5</c:v>
                </c:pt>
                <c:pt idx="5">
                  <c:v>47</c:v>
                </c:pt>
                <c:pt idx="6">
                  <c:v>48.5</c:v>
                </c:pt>
                <c:pt idx="7">
                  <c:v>56.5</c:v>
                </c:pt>
                <c:pt idx="8">
                  <c:v>144</c:v>
                </c:pt>
                <c:pt idx="9">
                  <c:v>153.5</c:v>
                </c:pt>
                <c:pt idx="10">
                  <c:v>6906</c:v>
                </c:pt>
                <c:pt idx="11">
                  <c:v>7000</c:v>
                </c:pt>
                <c:pt idx="12">
                  <c:v>7002.5</c:v>
                </c:pt>
                <c:pt idx="13">
                  <c:v>7166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2">
                  <c:v>0.36673499999960768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7-43C8-8AAF-2B4074D388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</c:v>
                </c:pt>
                <c:pt idx="1">
                  <c:v>-58</c:v>
                </c:pt>
                <c:pt idx="2">
                  <c:v>-7729.5</c:v>
                </c:pt>
                <c:pt idx="3">
                  <c:v>9</c:v>
                </c:pt>
                <c:pt idx="4">
                  <c:v>40.5</c:v>
                </c:pt>
                <c:pt idx="5">
                  <c:v>47</c:v>
                </c:pt>
                <c:pt idx="6">
                  <c:v>48.5</c:v>
                </c:pt>
                <c:pt idx="7">
                  <c:v>56.5</c:v>
                </c:pt>
                <c:pt idx="8">
                  <c:v>144</c:v>
                </c:pt>
                <c:pt idx="9">
                  <c:v>153.5</c:v>
                </c:pt>
                <c:pt idx="10">
                  <c:v>6906</c:v>
                </c:pt>
                <c:pt idx="11">
                  <c:v>7000</c:v>
                </c:pt>
                <c:pt idx="12">
                  <c:v>7002.5</c:v>
                </c:pt>
                <c:pt idx="13">
                  <c:v>7166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2.4429999997664709E-2</c:v>
                </c:pt>
                <c:pt idx="1">
                  <c:v>-3.6860000000160653E-2</c:v>
                </c:pt>
                <c:pt idx="3">
                  <c:v>3.5029999999096617E-2</c:v>
                </c:pt>
                <c:pt idx="4">
                  <c:v>-0.4873650000008638</c:v>
                </c:pt>
                <c:pt idx="5">
                  <c:v>-3.1510000000707805E-2</c:v>
                </c:pt>
                <c:pt idx="6">
                  <c:v>-0.53400500000134343</c:v>
                </c:pt>
                <c:pt idx="7">
                  <c:v>-0.53064500000255066</c:v>
                </c:pt>
                <c:pt idx="8">
                  <c:v>2.0479999999224674E-2</c:v>
                </c:pt>
                <c:pt idx="9">
                  <c:v>-0.50865500000145403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7-43C8-8AAF-2B4074D388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</c:v>
                </c:pt>
                <c:pt idx="1">
                  <c:v>-58</c:v>
                </c:pt>
                <c:pt idx="2">
                  <c:v>-7729.5</c:v>
                </c:pt>
                <c:pt idx="3">
                  <c:v>9</c:v>
                </c:pt>
                <c:pt idx="4">
                  <c:v>40.5</c:v>
                </c:pt>
                <c:pt idx="5">
                  <c:v>47</c:v>
                </c:pt>
                <c:pt idx="6">
                  <c:v>48.5</c:v>
                </c:pt>
                <c:pt idx="7">
                  <c:v>56.5</c:v>
                </c:pt>
                <c:pt idx="8">
                  <c:v>144</c:v>
                </c:pt>
                <c:pt idx="9">
                  <c:v>153.5</c:v>
                </c:pt>
                <c:pt idx="10">
                  <c:v>6906</c:v>
                </c:pt>
                <c:pt idx="11">
                  <c:v>7000</c:v>
                </c:pt>
                <c:pt idx="12">
                  <c:v>7002.5</c:v>
                </c:pt>
                <c:pt idx="13">
                  <c:v>7166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E7-43C8-8AAF-2B4074D388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</c:v>
                </c:pt>
                <c:pt idx="1">
                  <c:v>-58</c:v>
                </c:pt>
                <c:pt idx="2">
                  <c:v>-7729.5</c:v>
                </c:pt>
                <c:pt idx="3">
                  <c:v>9</c:v>
                </c:pt>
                <c:pt idx="4">
                  <c:v>40.5</c:v>
                </c:pt>
                <c:pt idx="5">
                  <c:v>47</c:v>
                </c:pt>
                <c:pt idx="6">
                  <c:v>48.5</c:v>
                </c:pt>
                <c:pt idx="7">
                  <c:v>56.5</c:v>
                </c:pt>
                <c:pt idx="8">
                  <c:v>144</c:v>
                </c:pt>
                <c:pt idx="9">
                  <c:v>153.5</c:v>
                </c:pt>
                <c:pt idx="10">
                  <c:v>6906</c:v>
                </c:pt>
                <c:pt idx="11">
                  <c:v>7000</c:v>
                </c:pt>
                <c:pt idx="12">
                  <c:v>7002.5</c:v>
                </c:pt>
                <c:pt idx="13">
                  <c:v>7166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0">
                  <c:v>-0.46517999999923632</c:v>
                </c:pt>
                <c:pt idx="11">
                  <c:v>-0.46380000000499422</c:v>
                </c:pt>
                <c:pt idx="12">
                  <c:v>-0.61592499999824213</c:v>
                </c:pt>
                <c:pt idx="13">
                  <c:v>-0.48507999987486983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7-43C8-8AAF-2B4074D388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</c:v>
                </c:pt>
                <c:pt idx="1">
                  <c:v>-58</c:v>
                </c:pt>
                <c:pt idx="2">
                  <c:v>-7729.5</c:v>
                </c:pt>
                <c:pt idx="3">
                  <c:v>9</c:v>
                </c:pt>
                <c:pt idx="4">
                  <c:v>40.5</c:v>
                </c:pt>
                <c:pt idx="5">
                  <c:v>47</c:v>
                </c:pt>
                <c:pt idx="6">
                  <c:v>48.5</c:v>
                </c:pt>
                <c:pt idx="7">
                  <c:v>56.5</c:v>
                </c:pt>
                <c:pt idx="8">
                  <c:v>144</c:v>
                </c:pt>
                <c:pt idx="9">
                  <c:v>153.5</c:v>
                </c:pt>
                <c:pt idx="10">
                  <c:v>6906</c:v>
                </c:pt>
                <c:pt idx="11">
                  <c:v>7000</c:v>
                </c:pt>
                <c:pt idx="12">
                  <c:v>7002.5</c:v>
                </c:pt>
                <c:pt idx="13">
                  <c:v>7166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E7-43C8-8AAF-2B4074D388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</c:v>
                </c:pt>
                <c:pt idx="1">
                  <c:v>-58</c:v>
                </c:pt>
                <c:pt idx="2">
                  <c:v>-7729.5</c:v>
                </c:pt>
                <c:pt idx="3">
                  <c:v>9</c:v>
                </c:pt>
                <c:pt idx="4">
                  <c:v>40.5</c:v>
                </c:pt>
                <c:pt idx="5">
                  <c:v>47</c:v>
                </c:pt>
                <c:pt idx="6">
                  <c:v>48.5</c:v>
                </c:pt>
                <c:pt idx="7">
                  <c:v>56.5</c:v>
                </c:pt>
                <c:pt idx="8">
                  <c:v>144</c:v>
                </c:pt>
                <c:pt idx="9">
                  <c:v>153.5</c:v>
                </c:pt>
                <c:pt idx="10">
                  <c:v>6906</c:v>
                </c:pt>
                <c:pt idx="11">
                  <c:v>7000</c:v>
                </c:pt>
                <c:pt idx="12">
                  <c:v>7002.5</c:v>
                </c:pt>
                <c:pt idx="13">
                  <c:v>7166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E7-43C8-8AAF-2B4074D388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</c:v>
                </c:pt>
                <c:pt idx="1">
                  <c:v>-58</c:v>
                </c:pt>
                <c:pt idx="2">
                  <c:v>-7729.5</c:v>
                </c:pt>
                <c:pt idx="3">
                  <c:v>9</c:v>
                </c:pt>
                <c:pt idx="4">
                  <c:v>40.5</c:v>
                </c:pt>
                <c:pt idx="5">
                  <c:v>47</c:v>
                </c:pt>
                <c:pt idx="6">
                  <c:v>48.5</c:v>
                </c:pt>
                <c:pt idx="7">
                  <c:v>56.5</c:v>
                </c:pt>
                <c:pt idx="8">
                  <c:v>144</c:v>
                </c:pt>
                <c:pt idx="9">
                  <c:v>153.5</c:v>
                </c:pt>
                <c:pt idx="10">
                  <c:v>6906</c:v>
                </c:pt>
                <c:pt idx="11">
                  <c:v>7000</c:v>
                </c:pt>
                <c:pt idx="12">
                  <c:v>7002.5</c:v>
                </c:pt>
                <c:pt idx="13">
                  <c:v>7166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E7-43C8-8AAF-2B4074D388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Active!$D$21:$D$124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Active!$D$21:$D$124</c:f>
                <c:numCache>
                  <c:formatCode>General</c:formatCode>
                  <c:ptCount val="10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</c:v>
                </c:pt>
                <c:pt idx="1">
                  <c:v>-58</c:v>
                </c:pt>
                <c:pt idx="2">
                  <c:v>-7729.5</c:v>
                </c:pt>
                <c:pt idx="3">
                  <c:v>9</c:v>
                </c:pt>
                <c:pt idx="4">
                  <c:v>40.5</c:v>
                </c:pt>
                <c:pt idx="5">
                  <c:v>47</c:v>
                </c:pt>
                <c:pt idx="6">
                  <c:v>48.5</c:v>
                </c:pt>
                <c:pt idx="7">
                  <c:v>56.5</c:v>
                </c:pt>
                <c:pt idx="8">
                  <c:v>144</c:v>
                </c:pt>
                <c:pt idx="9">
                  <c:v>153.5</c:v>
                </c:pt>
                <c:pt idx="10">
                  <c:v>6906</c:v>
                </c:pt>
                <c:pt idx="11">
                  <c:v>7000</c:v>
                </c:pt>
                <c:pt idx="12">
                  <c:v>7002.5</c:v>
                </c:pt>
                <c:pt idx="13">
                  <c:v>7166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-0.17978167142725776</c:v>
                </c:pt>
                <c:pt idx="1">
                  <c:v>-0.18565245876219261</c:v>
                </c:pt>
                <c:pt idx="2">
                  <c:v>0.2129116566356187</c:v>
                </c:pt>
                <c:pt idx="3">
                  <c:v>-0.189133368066977</c:v>
                </c:pt>
                <c:pt idx="4">
                  <c:v>-0.19076991497892787</c:v>
                </c:pt>
                <c:pt idx="5">
                  <c:v>-0.19110761513536217</c:v>
                </c:pt>
                <c:pt idx="6">
                  <c:v>-0.19118554594069315</c:v>
                </c:pt>
                <c:pt idx="7">
                  <c:v>-0.19160117690245845</c:v>
                </c:pt>
                <c:pt idx="8">
                  <c:v>-0.19614714054676641</c:v>
                </c:pt>
                <c:pt idx="9">
                  <c:v>-0.19664070231386271</c:v>
                </c:pt>
                <c:pt idx="10">
                  <c:v>-0.54745921097888528</c:v>
                </c:pt>
                <c:pt idx="11">
                  <c:v>-0.55234287477962762</c:v>
                </c:pt>
                <c:pt idx="12">
                  <c:v>-0.55247275945517926</c:v>
                </c:pt>
                <c:pt idx="13">
                  <c:v>-0.56096721723625753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E7-43C8-8AAF-2B4074D3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567232"/>
        <c:axId val="1"/>
      </c:scatterChart>
      <c:valAx>
        <c:axId val="56356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56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53243115252795"/>
          <c:y val="0.9204921861831491"/>
          <c:w val="0.63914469406920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800E1B-BB54-840A-1BB8-62CD1BD1D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745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5595" TargetMode="External"/><Relationship Id="rId4" Type="http://schemas.openxmlformats.org/officeDocument/2006/relationships/hyperlink" Target="http://www.konkoly.hu/cgi-bin/IBVS?5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35</v>
      </c>
    </row>
    <row r="2" spans="1:7">
      <c r="A2" t="s">
        <v>24</v>
      </c>
      <c r="B2" s="24" t="s">
        <v>36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28044.81</v>
      </c>
      <c r="D4" s="9">
        <v>3.6283300000000001</v>
      </c>
    </row>
    <row r="6" spans="1:7">
      <c r="A6" s="5" t="s">
        <v>1</v>
      </c>
    </row>
    <row r="7" spans="1:7">
      <c r="A7" t="s">
        <v>2</v>
      </c>
      <c r="C7">
        <f>+C4</f>
        <v>28044.81</v>
      </c>
    </row>
    <row r="8" spans="1:7">
      <c r="A8" t="s">
        <v>3</v>
      </c>
      <c r="C8">
        <f>+D4</f>
        <v>3.6283300000000001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31">
        <f ca="1">INTERCEPT(INDIRECT($G$11):G991,INDIRECT($F$11):F991)</f>
        <v>-0.18866578323499103</v>
      </c>
      <c r="D11" s="3"/>
      <c r="E11" s="12"/>
      <c r="F11" s="32" t="str">
        <f>"F"&amp;E19</f>
        <v>F21</v>
      </c>
      <c r="G11" s="33" t="str">
        <f>"G"&amp;E19</f>
        <v>G21</v>
      </c>
    </row>
    <row r="12" spans="1:7">
      <c r="A12" s="12" t="s">
        <v>17</v>
      </c>
      <c r="B12" s="12"/>
      <c r="C12" s="31">
        <f ca="1">SLOPE(INDIRECT($G$11):G991,INDIRECT($F$11):F991)</f>
        <v>-5.1953870220662364E-5</v>
      </c>
      <c r="D12" s="3"/>
      <c r="E12" s="12"/>
    </row>
    <row r="13" spans="1:7">
      <c r="A13" s="12" t="s">
        <v>19</v>
      </c>
      <c r="B13" s="12"/>
      <c r="C13" s="3" t="s">
        <v>14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31</v>
      </c>
      <c r="E14" s="17">
        <f ca="1">NOW()+15018.5+$C$9/24</f>
        <v>60335.697128356478</v>
      </c>
    </row>
    <row r="15" spans="1:7">
      <c r="A15" s="14" t="s">
        <v>18</v>
      </c>
      <c r="B15" s="12"/>
      <c r="C15" s="15">
        <f ca="1">(C7+C11)+(C8+C12)*INT(MAX(F21:F3532))</f>
        <v>54044.861812782765</v>
      </c>
      <c r="D15" s="16" t="s">
        <v>43</v>
      </c>
      <c r="E15" s="17">
        <f ca="1">ROUND(2*(E14-$C$7)/$C$8,0)/2+E13</f>
        <v>8900.5</v>
      </c>
    </row>
    <row r="16" spans="1:7">
      <c r="A16" s="18" t="s">
        <v>4</v>
      </c>
      <c r="B16" s="12"/>
      <c r="C16" s="19">
        <f ca="1">+C8+C12</f>
        <v>3.6282780461297794</v>
      </c>
      <c r="D16" s="16" t="s">
        <v>32</v>
      </c>
      <c r="E16" s="33">
        <f ca="1">ROUND(2*(E14-$C$15)/$C$16,0)/2+E13</f>
        <v>1735</v>
      </c>
    </row>
    <row r="17" spans="1:17" ht="13.5" thickBot="1">
      <c r="A17" s="16" t="s">
        <v>28</v>
      </c>
      <c r="B17" s="12"/>
      <c r="C17" s="12">
        <f>COUNT(C21:C2190)</f>
        <v>14</v>
      </c>
      <c r="D17" s="16" t="s">
        <v>33</v>
      </c>
      <c r="E17" s="20">
        <f ca="1">+$C$15+$C$16*E16-15018.5-$C$9/24</f>
        <v>45321.820056151271</v>
      </c>
    </row>
    <row r="18" spans="1:17" ht="14.25" thickTop="1" thickBot="1">
      <c r="A18" s="18" t="s">
        <v>5</v>
      </c>
      <c r="B18" s="12"/>
      <c r="C18" s="21">
        <f ca="1">+C15</f>
        <v>54044.861812782765</v>
      </c>
      <c r="D18" s="22">
        <f ca="1">+C16</f>
        <v>3.6282780461297794</v>
      </c>
      <c r="E18" s="23" t="s">
        <v>34</v>
      </c>
    </row>
    <row r="19" spans="1:17" ht="13.5" thickTop="1">
      <c r="A19" s="34" t="s">
        <v>44</v>
      </c>
      <c r="E19" s="35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>
      <c r="A21" s="49" t="s">
        <v>61</v>
      </c>
      <c r="B21" s="51" t="s">
        <v>37</v>
      </c>
      <c r="C21" s="50">
        <v>27424.39</v>
      </c>
      <c r="D21" s="50" t="s">
        <v>55</v>
      </c>
      <c r="E21">
        <f t="shared" ref="E21:E34" si="0">+(C21-C$7)/C$8</f>
        <v>-170.99326687484375</v>
      </c>
      <c r="F21">
        <f t="shared" ref="F21:F34" si="1">ROUND(2*E21,0)/2</f>
        <v>-171</v>
      </c>
      <c r="G21">
        <f t="shared" ref="G21:G34" si="2">+C21-(C$7+F21*C$8)</f>
        <v>2.4429999997664709E-2</v>
      </c>
      <c r="I21">
        <f>+G21</f>
        <v>2.4429999997664709E-2</v>
      </c>
      <c r="O21">
        <f t="shared" ref="O21:O34" ca="1" si="3">+C$11+C$12*$F21</f>
        <v>-0.17978167142725776</v>
      </c>
      <c r="Q21" s="2">
        <f t="shared" ref="Q21:Q34" si="4">+C21-15018.5</f>
        <v>12405.89</v>
      </c>
    </row>
    <row r="22" spans="1:17">
      <c r="A22" s="49" t="s">
        <v>61</v>
      </c>
      <c r="B22" s="51" t="s">
        <v>37</v>
      </c>
      <c r="C22" s="50">
        <v>27834.33</v>
      </c>
      <c r="D22" s="50" t="s">
        <v>55</v>
      </c>
      <c r="E22">
        <f t="shared" si="0"/>
        <v>-58.010158943646132</v>
      </c>
      <c r="F22">
        <f t="shared" si="1"/>
        <v>-58</v>
      </c>
      <c r="G22">
        <f t="shared" si="2"/>
        <v>-3.6860000000160653E-2</v>
      </c>
      <c r="I22">
        <f>+G22</f>
        <v>-3.6860000000160653E-2</v>
      </c>
      <c r="O22">
        <f t="shared" ca="1" si="3"/>
        <v>-0.18565245876219261</v>
      </c>
      <c r="Q22" s="2">
        <f t="shared" si="4"/>
        <v>12815.830000000002</v>
      </c>
    </row>
    <row r="23" spans="1:17">
      <c r="A23" s="25" t="s">
        <v>12</v>
      </c>
      <c r="B23" s="26" t="s">
        <v>37</v>
      </c>
      <c r="C23" s="25">
        <f>+C6</f>
        <v>0</v>
      </c>
      <c r="D23" s="25" t="s">
        <v>14</v>
      </c>
      <c r="E23">
        <f t="shared" si="0"/>
        <v>-7729.3989245741159</v>
      </c>
      <c r="F23">
        <f t="shared" si="1"/>
        <v>-7729.5</v>
      </c>
      <c r="G23">
        <f t="shared" si="2"/>
        <v>0.36673499999960768</v>
      </c>
      <c r="H23">
        <f>+G23</f>
        <v>0.36673499999960768</v>
      </c>
      <c r="O23">
        <f t="shared" ca="1" si="3"/>
        <v>0.2129116566356187</v>
      </c>
      <c r="Q23" s="2">
        <f t="shared" si="4"/>
        <v>-15018.5</v>
      </c>
    </row>
    <row r="24" spans="1:17">
      <c r="A24" s="49" t="s">
        <v>61</v>
      </c>
      <c r="B24" s="51" t="s">
        <v>37</v>
      </c>
      <c r="C24" s="50">
        <v>28077.5</v>
      </c>
      <c r="D24" s="50" t="s">
        <v>55</v>
      </c>
      <c r="E24">
        <f t="shared" si="0"/>
        <v>9.0096545793791325</v>
      </c>
      <c r="F24">
        <f t="shared" si="1"/>
        <v>9</v>
      </c>
      <c r="G24">
        <f t="shared" si="2"/>
        <v>3.5029999999096617E-2</v>
      </c>
      <c r="I24">
        <f t="shared" ref="I24:I30" si="5">+G24</f>
        <v>3.5029999999096617E-2</v>
      </c>
      <c r="O24">
        <f t="shared" ca="1" si="3"/>
        <v>-0.189133368066977</v>
      </c>
      <c r="Q24" s="2">
        <f t="shared" si="4"/>
        <v>13059</v>
      </c>
    </row>
    <row r="25" spans="1:17">
      <c r="A25" s="49" t="s">
        <v>61</v>
      </c>
      <c r="B25" s="51" t="s">
        <v>40</v>
      </c>
      <c r="C25" s="50">
        <v>28191.27</v>
      </c>
      <c r="D25" s="50" t="s">
        <v>55</v>
      </c>
      <c r="E25">
        <f t="shared" si="0"/>
        <v>40.365677873842543</v>
      </c>
      <c r="F25">
        <f t="shared" si="1"/>
        <v>40.5</v>
      </c>
      <c r="G25">
        <f t="shared" si="2"/>
        <v>-0.4873650000008638</v>
      </c>
      <c r="I25">
        <f t="shared" si="5"/>
        <v>-0.4873650000008638</v>
      </c>
      <c r="O25">
        <f t="shared" ca="1" si="3"/>
        <v>-0.19076991497892787</v>
      </c>
      <c r="Q25" s="2">
        <f t="shared" si="4"/>
        <v>13172.77</v>
      </c>
    </row>
    <row r="26" spans="1:17">
      <c r="A26" s="49" t="s">
        <v>61</v>
      </c>
      <c r="B26" s="51" t="s">
        <v>37</v>
      </c>
      <c r="C26" s="50">
        <v>28215.31</v>
      </c>
      <c r="D26" s="50" t="s">
        <v>55</v>
      </c>
      <c r="E26">
        <f t="shared" si="0"/>
        <v>46.991315563909566</v>
      </c>
      <c r="F26">
        <f t="shared" si="1"/>
        <v>47</v>
      </c>
      <c r="G26">
        <f t="shared" si="2"/>
        <v>-3.1510000000707805E-2</v>
      </c>
      <c r="I26">
        <f t="shared" si="5"/>
        <v>-3.1510000000707805E-2</v>
      </c>
      <c r="O26">
        <f t="shared" ca="1" si="3"/>
        <v>-0.19110761513536217</v>
      </c>
      <c r="Q26" s="2">
        <f t="shared" si="4"/>
        <v>13196.810000000001</v>
      </c>
    </row>
    <row r="27" spans="1:17">
      <c r="A27" s="49" t="s">
        <v>61</v>
      </c>
      <c r="B27" s="51" t="s">
        <v>40</v>
      </c>
      <c r="C27" s="50">
        <v>28220.25</v>
      </c>
      <c r="D27" s="50" t="s">
        <v>55</v>
      </c>
      <c r="E27">
        <f t="shared" si="0"/>
        <v>48.352823475262362</v>
      </c>
      <c r="F27">
        <f t="shared" si="1"/>
        <v>48.5</v>
      </c>
      <c r="G27">
        <f t="shared" si="2"/>
        <v>-0.53400500000134343</v>
      </c>
      <c r="I27">
        <f t="shared" si="5"/>
        <v>-0.53400500000134343</v>
      </c>
      <c r="O27">
        <f t="shared" ca="1" si="3"/>
        <v>-0.19118554594069315</v>
      </c>
      <c r="Q27" s="2">
        <f t="shared" si="4"/>
        <v>13201.75</v>
      </c>
    </row>
    <row r="28" spans="1:17">
      <c r="A28" s="49" t="s">
        <v>61</v>
      </c>
      <c r="B28" s="51" t="s">
        <v>40</v>
      </c>
      <c r="C28" s="50">
        <v>28249.279999999999</v>
      </c>
      <c r="D28" s="50" t="s">
        <v>55</v>
      </c>
      <c r="E28">
        <f t="shared" si="0"/>
        <v>56.353749521128876</v>
      </c>
      <c r="F28">
        <f t="shared" si="1"/>
        <v>56.5</v>
      </c>
      <c r="G28">
        <f t="shared" si="2"/>
        <v>-0.53064500000255066</v>
      </c>
      <c r="I28">
        <f t="shared" si="5"/>
        <v>-0.53064500000255066</v>
      </c>
      <c r="O28">
        <f t="shared" ca="1" si="3"/>
        <v>-0.19160117690245845</v>
      </c>
      <c r="Q28" s="2">
        <f t="shared" si="4"/>
        <v>13230.779999999999</v>
      </c>
    </row>
    <row r="29" spans="1:17">
      <c r="A29" s="49" t="s">
        <v>61</v>
      </c>
      <c r="B29" s="51" t="s">
        <v>37</v>
      </c>
      <c r="C29" s="50">
        <v>28567.31</v>
      </c>
      <c r="D29" s="50" t="s">
        <v>55</v>
      </c>
      <c r="E29">
        <f t="shared" si="0"/>
        <v>144.00564447004544</v>
      </c>
      <c r="F29">
        <f t="shared" si="1"/>
        <v>144</v>
      </c>
      <c r="G29">
        <f t="shared" si="2"/>
        <v>2.0479999999224674E-2</v>
      </c>
      <c r="I29">
        <f t="shared" si="5"/>
        <v>2.0479999999224674E-2</v>
      </c>
      <c r="O29">
        <f t="shared" ca="1" si="3"/>
        <v>-0.19614714054676641</v>
      </c>
      <c r="Q29" s="2">
        <f t="shared" si="4"/>
        <v>13548.810000000001</v>
      </c>
    </row>
    <row r="30" spans="1:17">
      <c r="A30" s="49" t="s">
        <v>61</v>
      </c>
      <c r="B30" s="51" t="s">
        <v>40</v>
      </c>
      <c r="C30" s="50">
        <v>28601.25</v>
      </c>
      <c r="D30" s="50" t="s">
        <v>55</v>
      </c>
      <c r="E30">
        <f t="shared" si="0"/>
        <v>153.35981016059694</v>
      </c>
      <c r="F30">
        <f t="shared" si="1"/>
        <v>153.5</v>
      </c>
      <c r="G30">
        <f t="shared" si="2"/>
        <v>-0.50865500000145403</v>
      </c>
      <c r="I30">
        <f t="shared" si="5"/>
        <v>-0.50865500000145403</v>
      </c>
      <c r="O30">
        <f t="shared" ca="1" si="3"/>
        <v>-0.19664070231386271</v>
      </c>
      <c r="Q30" s="2">
        <f t="shared" si="4"/>
        <v>13582.75</v>
      </c>
    </row>
    <row r="31" spans="1:17">
      <c r="A31" s="25" t="s">
        <v>38</v>
      </c>
      <c r="B31" s="26" t="s">
        <v>37</v>
      </c>
      <c r="C31" s="25">
        <v>53101.591800000002</v>
      </c>
      <c r="D31" s="25">
        <v>1E-3</v>
      </c>
      <c r="E31">
        <f t="shared" si="0"/>
        <v>6905.871792257044</v>
      </c>
      <c r="F31">
        <f t="shared" si="1"/>
        <v>6906</v>
      </c>
      <c r="G31">
        <f t="shared" si="2"/>
        <v>-0.46517999999923632</v>
      </c>
      <c r="K31">
        <f>+G31</f>
        <v>-0.46517999999923632</v>
      </c>
      <c r="O31">
        <f t="shared" ca="1" si="3"/>
        <v>-0.54745921097888528</v>
      </c>
      <c r="Q31" s="2">
        <f t="shared" si="4"/>
        <v>38083.091800000002</v>
      </c>
    </row>
    <row r="32" spans="1:17">
      <c r="A32" s="27" t="s">
        <v>39</v>
      </c>
      <c r="B32" s="3" t="s">
        <v>37</v>
      </c>
      <c r="C32" s="10">
        <v>53442.656199999998</v>
      </c>
      <c r="D32" s="10">
        <v>6.9999999999999999E-4</v>
      </c>
      <c r="E32">
        <f t="shared" si="0"/>
        <v>6999.8721725973091</v>
      </c>
      <c r="F32">
        <f t="shared" si="1"/>
        <v>7000</v>
      </c>
      <c r="G32">
        <f t="shared" si="2"/>
        <v>-0.46380000000499422</v>
      </c>
      <c r="K32">
        <f>+G32</f>
        <v>-0.46380000000499422</v>
      </c>
      <c r="O32">
        <f t="shared" ca="1" si="3"/>
        <v>-0.55234287477962762</v>
      </c>
      <c r="Q32" s="2">
        <f t="shared" si="4"/>
        <v>38424.156199999998</v>
      </c>
    </row>
    <row r="33" spans="1:17">
      <c r="A33" s="27" t="s">
        <v>39</v>
      </c>
      <c r="B33" s="3" t="s">
        <v>40</v>
      </c>
      <c r="C33" s="10">
        <v>53451.5749</v>
      </c>
      <c r="D33" s="10">
        <v>5.9999999999999995E-4</v>
      </c>
      <c r="E33">
        <f t="shared" si="0"/>
        <v>7002.3302455950807</v>
      </c>
      <c r="F33">
        <f t="shared" si="1"/>
        <v>7002.5</v>
      </c>
      <c r="G33">
        <f t="shared" si="2"/>
        <v>-0.61592499999824213</v>
      </c>
      <c r="K33">
        <f>+G33</f>
        <v>-0.61592499999824213</v>
      </c>
      <c r="O33">
        <f t="shared" ca="1" si="3"/>
        <v>-0.55247275945517926</v>
      </c>
      <c r="Q33" s="2">
        <f t="shared" si="4"/>
        <v>38433.0749</v>
      </c>
    </row>
    <row r="34" spans="1:17">
      <c r="A34" s="28" t="s">
        <v>41</v>
      </c>
      <c r="B34" s="29" t="s">
        <v>40</v>
      </c>
      <c r="C34" s="30">
        <v>54044.937700000126</v>
      </c>
      <c r="D34" s="30">
        <v>8.0000000000000004E-4</v>
      </c>
      <c r="E34">
        <f t="shared" si="0"/>
        <v>7165.8663076401881</v>
      </c>
      <c r="F34">
        <f t="shared" si="1"/>
        <v>7166</v>
      </c>
      <c r="G34">
        <f t="shared" si="2"/>
        <v>-0.48507999987486983</v>
      </c>
      <c r="K34">
        <f>+G34</f>
        <v>-0.48507999987486983</v>
      </c>
      <c r="O34">
        <f t="shared" ca="1" si="3"/>
        <v>-0.56096721723625753</v>
      </c>
      <c r="Q34" s="2">
        <f t="shared" si="4"/>
        <v>39026.437700000126</v>
      </c>
    </row>
    <row r="35" spans="1:17">
      <c r="B35" s="3"/>
      <c r="C35" s="10"/>
      <c r="D35" s="10"/>
    </row>
    <row r="36" spans="1:17">
      <c r="C36" s="10"/>
      <c r="D36" s="10"/>
    </row>
    <row r="37" spans="1:17">
      <c r="C37" s="10"/>
      <c r="D37" s="10"/>
    </row>
    <row r="38" spans="1:17">
      <c r="C38" s="10"/>
      <c r="D38" s="10"/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9"/>
  <sheetViews>
    <sheetView workbookViewId="0">
      <selection activeCell="A14" sqref="A14:D23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6" t="s">
        <v>45</v>
      </c>
      <c r="I1" s="37" t="s">
        <v>46</v>
      </c>
      <c r="J1" s="38" t="s">
        <v>47</v>
      </c>
    </row>
    <row r="2" spans="1:16">
      <c r="I2" s="39" t="s">
        <v>48</v>
      </c>
      <c r="J2" s="40" t="s">
        <v>49</v>
      </c>
    </row>
    <row r="3" spans="1:16">
      <c r="A3" s="41" t="s">
        <v>50</v>
      </c>
      <c r="I3" s="39" t="s">
        <v>51</v>
      </c>
      <c r="J3" s="40" t="s">
        <v>52</v>
      </c>
    </row>
    <row r="4" spans="1:16">
      <c r="I4" s="39" t="s">
        <v>53</v>
      </c>
      <c r="J4" s="40" t="s">
        <v>52</v>
      </c>
    </row>
    <row r="5" spans="1:16" ht="13.5" thickBot="1">
      <c r="I5" s="42" t="s">
        <v>54</v>
      </c>
      <c r="J5" s="43" t="s">
        <v>55</v>
      </c>
    </row>
    <row r="10" spans="1:16" ht="13.5" thickBot="1"/>
    <row r="11" spans="1:16" ht="12.75" customHeight="1" thickBot="1">
      <c r="A11" s="10" t="str">
        <f t="shared" ref="A11:A23" si="0">P11</f>
        <v>IBVS 5595 </v>
      </c>
      <c r="B11" s="3" t="str">
        <f t="shared" ref="B11:B23" si="1">IF(H11=INT(H11),"I","II")</f>
        <v>I</v>
      </c>
      <c r="C11" s="10">
        <f t="shared" ref="C11:C23" si="2">1*G11</f>
        <v>53101.591800000002</v>
      </c>
      <c r="D11" s="12" t="str">
        <f t="shared" ref="D11:D23" si="3">VLOOKUP(F11,I$1:J$5,2,FALSE)</f>
        <v>vis</v>
      </c>
      <c r="E11" s="44">
        <f>VLOOKUP(C11,Active!C$21:E$972,3,FALSE)</f>
        <v>6905.871792257044</v>
      </c>
      <c r="F11" s="3" t="s">
        <v>54</v>
      </c>
      <c r="G11" s="12" t="str">
        <f t="shared" ref="G11:G23" si="4">MID(I11,3,LEN(I11)-3)</f>
        <v>53101.5918</v>
      </c>
      <c r="H11" s="10">
        <f t="shared" ref="H11:H23" si="5">1*K11</f>
        <v>0</v>
      </c>
      <c r="I11" s="45" t="s">
        <v>85</v>
      </c>
      <c r="J11" s="46" t="s">
        <v>86</v>
      </c>
      <c r="K11" s="45">
        <v>0</v>
      </c>
      <c r="L11" s="45" t="s">
        <v>87</v>
      </c>
      <c r="M11" s="46" t="s">
        <v>88</v>
      </c>
      <c r="N11" s="46" t="s">
        <v>89</v>
      </c>
      <c r="O11" s="47" t="s">
        <v>90</v>
      </c>
      <c r="P11" s="48" t="s">
        <v>91</v>
      </c>
    </row>
    <row r="12" spans="1:16" ht="12.75" customHeight="1" thickBot="1">
      <c r="A12" s="10" t="str">
        <f t="shared" si="0"/>
        <v>IBVS 5745 </v>
      </c>
      <c r="B12" s="3" t="str">
        <f t="shared" si="1"/>
        <v>I</v>
      </c>
      <c r="C12" s="10">
        <f t="shared" si="2"/>
        <v>53442.656199999998</v>
      </c>
      <c r="D12" s="12" t="str">
        <f t="shared" si="3"/>
        <v>vis</v>
      </c>
      <c r="E12" s="44">
        <f>VLOOKUP(C12,Active!C$21:E$972,3,FALSE)</f>
        <v>6999.8721725973091</v>
      </c>
      <c r="F12" s="3" t="s">
        <v>54</v>
      </c>
      <c r="G12" s="12" t="str">
        <f t="shared" si="4"/>
        <v>53442.6562</v>
      </c>
      <c r="H12" s="10">
        <f t="shared" si="5"/>
        <v>94</v>
      </c>
      <c r="I12" s="45" t="s">
        <v>92</v>
      </c>
      <c r="J12" s="46" t="s">
        <v>93</v>
      </c>
      <c r="K12" s="45">
        <v>94</v>
      </c>
      <c r="L12" s="45" t="s">
        <v>94</v>
      </c>
      <c r="M12" s="46" t="s">
        <v>88</v>
      </c>
      <c r="N12" s="46" t="s">
        <v>89</v>
      </c>
      <c r="O12" s="47" t="s">
        <v>95</v>
      </c>
      <c r="P12" s="48" t="s">
        <v>96</v>
      </c>
    </row>
    <row r="13" spans="1:16" ht="12.75" customHeight="1" thickBot="1">
      <c r="A13" s="10" t="str">
        <f t="shared" si="0"/>
        <v>IBVS 5745 </v>
      </c>
      <c r="B13" s="3" t="str">
        <f t="shared" si="1"/>
        <v>II</v>
      </c>
      <c r="C13" s="10">
        <f t="shared" si="2"/>
        <v>53451.5749</v>
      </c>
      <c r="D13" s="12" t="str">
        <f t="shared" si="3"/>
        <v>vis</v>
      </c>
      <c r="E13" s="44">
        <f>VLOOKUP(C13,Active!C$21:E$972,3,FALSE)</f>
        <v>7002.3302455950807</v>
      </c>
      <c r="F13" s="3" t="s">
        <v>54</v>
      </c>
      <c r="G13" s="12" t="str">
        <f t="shared" si="4"/>
        <v>53451.5749</v>
      </c>
      <c r="H13" s="10">
        <f t="shared" si="5"/>
        <v>96.5</v>
      </c>
      <c r="I13" s="45" t="s">
        <v>97</v>
      </c>
      <c r="J13" s="46" t="s">
        <v>98</v>
      </c>
      <c r="K13" s="45">
        <v>96.5</v>
      </c>
      <c r="L13" s="45" t="s">
        <v>99</v>
      </c>
      <c r="M13" s="46" t="s">
        <v>88</v>
      </c>
      <c r="N13" s="46" t="s">
        <v>89</v>
      </c>
      <c r="O13" s="47" t="s">
        <v>95</v>
      </c>
      <c r="P13" s="48" t="s">
        <v>96</v>
      </c>
    </row>
    <row r="14" spans="1:16" ht="12.75" customHeight="1" thickBot="1">
      <c r="A14" s="10" t="str">
        <f t="shared" si="0"/>
        <v> PLOU 111.5 </v>
      </c>
      <c r="B14" s="3" t="str">
        <f t="shared" si="1"/>
        <v>I</v>
      </c>
      <c r="C14" s="10">
        <f t="shared" si="2"/>
        <v>27424.39</v>
      </c>
      <c r="D14" s="12" t="str">
        <f t="shared" si="3"/>
        <v>vis</v>
      </c>
      <c r="E14" s="44">
        <f>VLOOKUP(C14,Active!C$21:E$972,3,FALSE)</f>
        <v>-170.99326687484375</v>
      </c>
      <c r="F14" s="3" t="s">
        <v>54</v>
      </c>
      <c r="G14" s="12" t="str">
        <f t="shared" si="4"/>
        <v>27424.39</v>
      </c>
      <c r="H14" s="10">
        <f t="shared" si="5"/>
        <v>-7077</v>
      </c>
      <c r="I14" s="45" t="s">
        <v>56</v>
      </c>
      <c r="J14" s="46" t="s">
        <v>57</v>
      </c>
      <c r="K14" s="45">
        <v>-7077</v>
      </c>
      <c r="L14" s="45" t="s">
        <v>58</v>
      </c>
      <c r="M14" s="46" t="s">
        <v>59</v>
      </c>
      <c r="N14" s="46"/>
      <c r="O14" s="47" t="s">
        <v>60</v>
      </c>
      <c r="P14" s="47" t="s">
        <v>61</v>
      </c>
    </row>
    <row r="15" spans="1:16" ht="12.75" customHeight="1" thickBot="1">
      <c r="A15" s="10" t="str">
        <f t="shared" si="0"/>
        <v> PLOU 111.5 </v>
      </c>
      <c r="B15" s="3" t="str">
        <f t="shared" si="1"/>
        <v>I</v>
      </c>
      <c r="C15" s="10">
        <f t="shared" si="2"/>
        <v>27834.33</v>
      </c>
      <c r="D15" s="12" t="str">
        <f t="shared" si="3"/>
        <v>vis</v>
      </c>
      <c r="E15" s="44">
        <f>VLOOKUP(C15,Active!C$21:E$972,3,FALSE)</f>
        <v>-58.010158943646132</v>
      </c>
      <c r="F15" s="3" t="s">
        <v>54</v>
      </c>
      <c r="G15" s="12" t="str">
        <f t="shared" si="4"/>
        <v>27834.33</v>
      </c>
      <c r="H15" s="10">
        <f t="shared" si="5"/>
        <v>-6964</v>
      </c>
      <c r="I15" s="45" t="s">
        <v>62</v>
      </c>
      <c r="J15" s="46" t="s">
        <v>63</v>
      </c>
      <c r="K15" s="45">
        <v>-6964</v>
      </c>
      <c r="L15" s="45" t="s">
        <v>64</v>
      </c>
      <c r="M15" s="46" t="s">
        <v>59</v>
      </c>
      <c r="N15" s="46"/>
      <c r="O15" s="47" t="s">
        <v>60</v>
      </c>
      <c r="P15" s="47" t="s">
        <v>61</v>
      </c>
    </row>
    <row r="16" spans="1:16" ht="12.75" customHeight="1" thickBot="1">
      <c r="A16" s="10" t="str">
        <f t="shared" si="0"/>
        <v> PLOU 111.5 </v>
      </c>
      <c r="B16" s="3" t="str">
        <f t="shared" si="1"/>
        <v>I</v>
      </c>
      <c r="C16" s="10">
        <f t="shared" si="2"/>
        <v>28077.5</v>
      </c>
      <c r="D16" s="12" t="str">
        <f t="shared" si="3"/>
        <v>vis</v>
      </c>
      <c r="E16" s="44">
        <f>VLOOKUP(C16,Active!C$21:E$972,3,FALSE)</f>
        <v>9.0096545793791325</v>
      </c>
      <c r="F16" s="3" t="s">
        <v>54</v>
      </c>
      <c r="G16" s="12" t="str">
        <f t="shared" si="4"/>
        <v>28077.50</v>
      </c>
      <c r="H16" s="10">
        <f t="shared" si="5"/>
        <v>-6897</v>
      </c>
      <c r="I16" s="45" t="s">
        <v>65</v>
      </c>
      <c r="J16" s="46" t="s">
        <v>66</v>
      </c>
      <c r="K16" s="45">
        <v>-6897</v>
      </c>
      <c r="L16" s="45" t="s">
        <v>67</v>
      </c>
      <c r="M16" s="46" t="s">
        <v>59</v>
      </c>
      <c r="N16" s="46"/>
      <c r="O16" s="47" t="s">
        <v>60</v>
      </c>
      <c r="P16" s="47" t="s">
        <v>61</v>
      </c>
    </row>
    <row r="17" spans="1:16" ht="12.75" customHeight="1" thickBot="1">
      <c r="A17" s="10" t="str">
        <f t="shared" si="0"/>
        <v> PLOU 111.5 </v>
      </c>
      <c r="B17" s="3" t="str">
        <f t="shared" si="1"/>
        <v>II</v>
      </c>
      <c r="C17" s="10">
        <f t="shared" si="2"/>
        <v>28191.27</v>
      </c>
      <c r="D17" s="12" t="str">
        <f t="shared" si="3"/>
        <v>vis</v>
      </c>
      <c r="E17" s="44">
        <f>VLOOKUP(C17,Active!C$21:E$972,3,FALSE)</f>
        <v>40.365677873842543</v>
      </c>
      <c r="F17" s="3" t="s">
        <v>54</v>
      </c>
      <c r="G17" s="12" t="str">
        <f t="shared" si="4"/>
        <v>28191.27</v>
      </c>
      <c r="H17" s="10">
        <f t="shared" si="5"/>
        <v>-6865.5</v>
      </c>
      <c r="I17" s="45" t="s">
        <v>68</v>
      </c>
      <c r="J17" s="46" t="s">
        <v>69</v>
      </c>
      <c r="K17" s="45">
        <v>-6865.5</v>
      </c>
      <c r="L17" s="45" t="s">
        <v>70</v>
      </c>
      <c r="M17" s="46" t="s">
        <v>59</v>
      </c>
      <c r="N17" s="46"/>
      <c r="O17" s="47" t="s">
        <v>60</v>
      </c>
      <c r="P17" s="47" t="s">
        <v>61</v>
      </c>
    </row>
    <row r="18" spans="1:16" ht="12.75" customHeight="1" thickBot="1">
      <c r="A18" s="10" t="str">
        <f t="shared" si="0"/>
        <v> PLOU 111.5 </v>
      </c>
      <c r="B18" s="3" t="str">
        <f t="shared" si="1"/>
        <v>I</v>
      </c>
      <c r="C18" s="10">
        <f t="shared" si="2"/>
        <v>28215.31</v>
      </c>
      <c r="D18" s="12" t="str">
        <f t="shared" si="3"/>
        <v>vis</v>
      </c>
      <c r="E18" s="44">
        <f>VLOOKUP(C18,Active!C$21:E$972,3,FALSE)</f>
        <v>46.991315563909566</v>
      </c>
      <c r="F18" s="3" t="s">
        <v>54</v>
      </c>
      <c r="G18" s="12" t="str">
        <f t="shared" si="4"/>
        <v>28215.31</v>
      </c>
      <c r="H18" s="10">
        <f t="shared" si="5"/>
        <v>-6859</v>
      </c>
      <c r="I18" s="45" t="s">
        <v>71</v>
      </c>
      <c r="J18" s="46" t="s">
        <v>72</v>
      </c>
      <c r="K18" s="45">
        <v>-6859</v>
      </c>
      <c r="L18" s="45" t="s">
        <v>73</v>
      </c>
      <c r="M18" s="46" t="s">
        <v>59</v>
      </c>
      <c r="N18" s="46"/>
      <c r="O18" s="47" t="s">
        <v>60</v>
      </c>
      <c r="P18" s="47" t="s">
        <v>61</v>
      </c>
    </row>
    <row r="19" spans="1:16" ht="12.75" customHeight="1" thickBot="1">
      <c r="A19" s="10" t="str">
        <f t="shared" si="0"/>
        <v> PLOU 111.5 </v>
      </c>
      <c r="B19" s="3" t="str">
        <f t="shared" si="1"/>
        <v>II</v>
      </c>
      <c r="C19" s="10">
        <f t="shared" si="2"/>
        <v>28220.25</v>
      </c>
      <c r="D19" s="12" t="str">
        <f t="shared" si="3"/>
        <v>vis</v>
      </c>
      <c r="E19" s="44">
        <f>VLOOKUP(C19,Active!C$21:E$972,3,FALSE)</f>
        <v>48.352823475262362</v>
      </c>
      <c r="F19" s="3" t="s">
        <v>54</v>
      </c>
      <c r="G19" s="12" t="str">
        <f t="shared" si="4"/>
        <v>28220.25</v>
      </c>
      <c r="H19" s="10">
        <f t="shared" si="5"/>
        <v>-6857.5</v>
      </c>
      <c r="I19" s="45" t="s">
        <v>74</v>
      </c>
      <c r="J19" s="46" t="s">
        <v>75</v>
      </c>
      <c r="K19" s="45">
        <v>-6857.5</v>
      </c>
      <c r="L19" s="45" t="s">
        <v>76</v>
      </c>
      <c r="M19" s="46" t="s">
        <v>59</v>
      </c>
      <c r="N19" s="46"/>
      <c r="O19" s="47" t="s">
        <v>60</v>
      </c>
      <c r="P19" s="47" t="s">
        <v>61</v>
      </c>
    </row>
    <row r="20" spans="1:16" ht="12.75" customHeight="1" thickBot="1">
      <c r="A20" s="10" t="str">
        <f t="shared" si="0"/>
        <v> PLOU 111.5 </v>
      </c>
      <c r="B20" s="3" t="str">
        <f t="shared" si="1"/>
        <v>II</v>
      </c>
      <c r="C20" s="10">
        <f t="shared" si="2"/>
        <v>28249.279999999999</v>
      </c>
      <c r="D20" s="12" t="str">
        <f t="shared" si="3"/>
        <v>vis</v>
      </c>
      <c r="E20" s="44">
        <f>VLOOKUP(C20,Active!C$21:E$972,3,FALSE)</f>
        <v>56.353749521128876</v>
      </c>
      <c r="F20" s="3" t="s">
        <v>54</v>
      </c>
      <c r="G20" s="12" t="str">
        <f t="shared" si="4"/>
        <v>28249.28</v>
      </c>
      <c r="H20" s="10">
        <f t="shared" si="5"/>
        <v>-6849.5</v>
      </c>
      <c r="I20" s="45" t="s">
        <v>77</v>
      </c>
      <c r="J20" s="46" t="s">
        <v>78</v>
      </c>
      <c r="K20" s="45">
        <v>-6849.5</v>
      </c>
      <c r="L20" s="45" t="s">
        <v>76</v>
      </c>
      <c r="M20" s="46" t="s">
        <v>59</v>
      </c>
      <c r="N20" s="46"/>
      <c r="O20" s="47" t="s">
        <v>60</v>
      </c>
      <c r="P20" s="47" t="s">
        <v>61</v>
      </c>
    </row>
    <row r="21" spans="1:16" ht="12.75" customHeight="1" thickBot="1">
      <c r="A21" s="10" t="str">
        <f t="shared" si="0"/>
        <v> PLOU 111.5 </v>
      </c>
      <c r="B21" s="3" t="str">
        <f t="shared" si="1"/>
        <v>I</v>
      </c>
      <c r="C21" s="10">
        <f t="shared" si="2"/>
        <v>28567.31</v>
      </c>
      <c r="D21" s="12" t="str">
        <f t="shared" si="3"/>
        <v>vis</v>
      </c>
      <c r="E21" s="44">
        <f>VLOOKUP(C21,Active!C$21:E$972,3,FALSE)</f>
        <v>144.00564447004544</v>
      </c>
      <c r="F21" s="3" t="s">
        <v>54</v>
      </c>
      <c r="G21" s="12" t="str">
        <f t="shared" si="4"/>
        <v>28567.31</v>
      </c>
      <c r="H21" s="10">
        <f t="shared" si="5"/>
        <v>-6762</v>
      </c>
      <c r="I21" s="45" t="s">
        <v>79</v>
      </c>
      <c r="J21" s="46" t="s">
        <v>80</v>
      </c>
      <c r="K21" s="45">
        <v>-6762</v>
      </c>
      <c r="L21" s="45" t="s">
        <v>81</v>
      </c>
      <c r="M21" s="46" t="s">
        <v>59</v>
      </c>
      <c r="N21" s="46"/>
      <c r="O21" s="47" t="s">
        <v>60</v>
      </c>
      <c r="P21" s="47" t="s">
        <v>61</v>
      </c>
    </row>
    <row r="22" spans="1:16" ht="12.75" customHeight="1" thickBot="1">
      <c r="A22" s="10" t="str">
        <f t="shared" si="0"/>
        <v> PLOU 111.5 </v>
      </c>
      <c r="B22" s="3" t="str">
        <f t="shared" si="1"/>
        <v>II</v>
      </c>
      <c r="C22" s="10">
        <f t="shared" si="2"/>
        <v>28601.25</v>
      </c>
      <c r="D22" s="12" t="str">
        <f t="shared" si="3"/>
        <v>vis</v>
      </c>
      <c r="E22" s="44">
        <f>VLOOKUP(C22,Active!C$21:E$972,3,FALSE)</f>
        <v>153.35981016059694</v>
      </c>
      <c r="F22" s="3" t="s">
        <v>54</v>
      </c>
      <c r="G22" s="12" t="str">
        <f t="shared" si="4"/>
        <v>28601.25</v>
      </c>
      <c r="H22" s="10">
        <f t="shared" si="5"/>
        <v>-6752.5</v>
      </c>
      <c r="I22" s="45" t="s">
        <v>82</v>
      </c>
      <c r="J22" s="46" t="s">
        <v>83</v>
      </c>
      <c r="K22" s="45">
        <v>-6752.5</v>
      </c>
      <c r="L22" s="45" t="s">
        <v>84</v>
      </c>
      <c r="M22" s="46" t="s">
        <v>59</v>
      </c>
      <c r="N22" s="46"/>
      <c r="O22" s="47" t="s">
        <v>60</v>
      </c>
      <c r="P22" s="47" t="s">
        <v>61</v>
      </c>
    </row>
    <row r="23" spans="1:16" ht="12.75" customHeight="1" thickBot="1">
      <c r="A23" s="10" t="str">
        <f t="shared" si="0"/>
        <v>IBVS 5806 </v>
      </c>
      <c r="B23" s="3" t="str">
        <f t="shared" si="1"/>
        <v>I</v>
      </c>
      <c r="C23" s="10">
        <f t="shared" si="2"/>
        <v>54044.937700000002</v>
      </c>
      <c r="D23" s="12" t="str">
        <f t="shared" si="3"/>
        <v>vis</v>
      </c>
      <c r="E23" s="44" t="e">
        <f>VLOOKUP(C23,Active!C$21:E$972,3,FALSE)</f>
        <v>#N/A</v>
      </c>
      <c r="F23" s="3" t="s">
        <v>54</v>
      </c>
      <c r="G23" s="12" t="str">
        <f t="shared" si="4"/>
        <v>54044.9377</v>
      </c>
      <c r="H23" s="10">
        <f t="shared" si="5"/>
        <v>260</v>
      </c>
      <c r="I23" s="45" t="s">
        <v>100</v>
      </c>
      <c r="J23" s="46" t="s">
        <v>101</v>
      </c>
      <c r="K23" s="45">
        <v>260</v>
      </c>
      <c r="L23" s="45" t="s">
        <v>102</v>
      </c>
      <c r="M23" s="46" t="s">
        <v>103</v>
      </c>
      <c r="N23" s="46" t="s">
        <v>104</v>
      </c>
      <c r="O23" s="47" t="s">
        <v>105</v>
      </c>
      <c r="P23" s="48" t="s">
        <v>106</v>
      </c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</sheetData>
  <phoneticPr fontId="7" type="noConversion"/>
  <hyperlinks>
    <hyperlink ref="P11" r:id="rId1" display="http://www.konkoly.hu/cgi-bin/IBVS?5595"/>
    <hyperlink ref="P12" r:id="rId2" display="http://www.konkoly.hu/cgi-bin/IBVS?5745"/>
    <hyperlink ref="P13" r:id="rId3" display="http://www.konkoly.hu/cgi-bin/IBVS?5745"/>
    <hyperlink ref="P23" r:id="rId4" display="http://www.konkoly.hu/cgi-bin/IBVS?580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2024-01-26T03:43:51Z</dcterms:modified>
</cp:coreProperties>
</file>