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5C794A5-2EA7-4FF9-A242-A97A68D836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Q56" i="1" l="1"/>
  <c r="D9" i="1"/>
  <c r="C9" i="1"/>
  <c r="Q52" i="1"/>
  <c r="Q51" i="1"/>
  <c r="Q50" i="1"/>
  <c r="Q49" i="1"/>
  <c r="Q47" i="1"/>
  <c r="Q39" i="1"/>
  <c r="Q28" i="1"/>
  <c r="Q26" i="1"/>
  <c r="Q25" i="1"/>
  <c r="Q24" i="1"/>
  <c r="Q23" i="1"/>
  <c r="Q22" i="1"/>
  <c r="Q21" i="1"/>
  <c r="G43" i="3"/>
  <c r="C43" i="3"/>
  <c r="G29" i="3"/>
  <c r="C29" i="3"/>
  <c r="G28" i="3"/>
  <c r="C28" i="3"/>
  <c r="G42" i="3"/>
  <c r="C42" i="3"/>
  <c r="G41" i="3"/>
  <c r="C41" i="3"/>
  <c r="G40" i="3"/>
  <c r="C40" i="3"/>
  <c r="G39" i="3"/>
  <c r="C39" i="3"/>
  <c r="G27" i="3"/>
  <c r="C27" i="3"/>
  <c r="G38" i="3"/>
  <c r="C38" i="3"/>
  <c r="G26" i="3"/>
  <c r="C26" i="3"/>
  <c r="G25" i="3"/>
  <c r="C25" i="3"/>
  <c r="G24" i="3"/>
  <c r="C24" i="3"/>
  <c r="G23" i="3"/>
  <c r="C23" i="3"/>
  <c r="G22" i="3"/>
  <c r="C22" i="3"/>
  <c r="G21" i="3"/>
  <c r="C21" i="3"/>
  <c r="G37" i="3"/>
  <c r="C37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36" i="3"/>
  <c r="C36" i="3"/>
  <c r="G11" i="3"/>
  <c r="C11" i="3"/>
  <c r="G35" i="3"/>
  <c r="C35" i="3"/>
  <c r="G34" i="3"/>
  <c r="C34" i="3"/>
  <c r="G33" i="3"/>
  <c r="C33" i="3"/>
  <c r="G32" i="3"/>
  <c r="C32" i="3"/>
  <c r="G31" i="3"/>
  <c r="C31" i="3"/>
  <c r="G30" i="3"/>
  <c r="C30" i="3"/>
  <c r="H43" i="3"/>
  <c r="D43" i="3"/>
  <c r="B43" i="3"/>
  <c r="A43" i="3"/>
  <c r="H29" i="3"/>
  <c r="B29" i="3"/>
  <c r="D29" i="3"/>
  <c r="A29" i="3"/>
  <c r="H28" i="3"/>
  <c r="D28" i="3"/>
  <c r="B28" i="3"/>
  <c r="A28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27" i="3"/>
  <c r="B27" i="3"/>
  <c r="D27" i="3"/>
  <c r="A27" i="3"/>
  <c r="H38" i="3"/>
  <c r="D38" i="3"/>
  <c r="B38" i="3"/>
  <c r="A38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37" i="3"/>
  <c r="B37" i="3"/>
  <c r="D37" i="3"/>
  <c r="A37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36" i="3"/>
  <c r="B36" i="3"/>
  <c r="D36" i="3"/>
  <c r="A36" i="3"/>
  <c r="H11" i="3"/>
  <c r="D11" i="3"/>
  <c r="B11" i="3"/>
  <c r="A11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Q55" i="1"/>
  <c r="F16" i="1"/>
  <c r="C17" i="1"/>
  <c r="Q53" i="1"/>
  <c r="Q27" i="1"/>
  <c r="C7" i="2"/>
  <c r="E21" i="2"/>
  <c r="F21" i="2"/>
  <c r="G21" i="2"/>
  <c r="E22" i="2"/>
  <c r="F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I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J39" i="2"/>
  <c r="C18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54" i="1"/>
  <c r="Q29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8" i="1"/>
  <c r="C7" i="1"/>
  <c r="E26" i="1"/>
  <c r="E35" i="3" s="1"/>
  <c r="C8" i="1"/>
  <c r="Q30" i="1"/>
  <c r="H21" i="2"/>
  <c r="C11" i="2"/>
  <c r="E14" i="3"/>
  <c r="G22" i="2"/>
  <c r="I22" i="2"/>
  <c r="E41" i="3"/>
  <c r="E31" i="3"/>
  <c r="E54" i="1"/>
  <c r="F54" i="1"/>
  <c r="G54" i="1" s="1"/>
  <c r="K54" i="1" s="1"/>
  <c r="E41" i="1"/>
  <c r="F41" i="1" s="1"/>
  <c r="G41" i="1" s="1"/>
  <c r="I41" i="1" s="1"/>
  <c r="E32" i="1"/>
  <c r="F32" i="1"/>
  <c r="G32" i="1" s="1"/>
  <c r="I32" i="1" s="1"/>
  <c r="E50" i="1"/>
  <c r="F50" i="1" s="1"/>
  <c r="G50" i="1" s="1"/>
  <c r="I50" i="1" s="1"/>
  <c r="E23" i="1"/>
  <c r="F23" i="1"/>
  <c r="G23" i="1" s="1"/>
  <c r="I23" i="1" s="1"/>
  <c r="E30" i="1"/>
  <c r="F30" i="1" s="1"/>
  <c r="G30" i="1" s="1"/>
  <c r="H30" i="1" s="1"/>
  <c r="E37" i="1"/>
  <c r="E19" i="3" s="1"/>
  <c r="F37" i="1"/>
  <c r="G37" i="1" s="1"/>
  <c r="I37" i="1" s="1"/>
  <c r="E48" i="1"/>
  <c r="F48" i="1" s="1"/>
  <c r="G48" i="1" s="1"/>
  <c r="I48" i="1" s="1"/>
  <c r="E39" i="1"/>
  <c r="F39" i="1"/>
  <c r="G39" i="1" s="1"/>
  <c r="I39" i="1" s="1"/>
  <c r="E43" i="1"/>
  <c r="E23" i="3" s="1"/>
  <c r="F43" i="1"/>
  <c r="G43" i="1" s="1"/>
  <c r="I43" i="1" s="1"/>
  <c r="E34" i="1"/>
  <c r="F34" i="1" s="1"/>
  <c r="G34" i="1" s="1"/>
  <c r="I34" i="1" s="1"/>
  <c r="E52" i="1"/>
  <c r="E42" i="3" s="1"/>
  <c r="F52" i="1"/>
  <c r="G52" i="1" s="1"/>
  <c r="I52" i="1" s="1"/>
  <c r="E25" i="1"/>
  <c r="F25" i="1" s="1"/>
  <c r="G25" i="1" s="1"/>
  <c r="I25" i="1" s="1"/>
  <c r="E53" i="1"/>
  <c r="F53" i="1" s="1"/>
  <c r="G53" i="1" s="1"/>
  <c r="K53" i="1" s="1"/>
  <c r="E40" i="1"/>
  <c r="F40" i="1" s="1"/>
  <c r="G40" i="1" s="1"/>
  <c r="I40" i="1" s="1"/>
  <c r="E31" i="1"/>
  <c r="F31" i="1" s="1"/>
  <c r="G31" i="1" s="1"/>
  <c r="I31" i="1" s="1"/>
  <c r="E49" i="1"/>
  <c r="F49" i="1" s="1"/>
  <c r="G49" i="1" s="1"/>
  <c r="I49" i="1" s="1"/>
  <c r="E22" i="1"/>
  <c r="F22" i="1"/>
  <c r="G22" i="1" s="1"/>
  <c r="I22" i="1" s="1"/>
  <c r="E45" i="1"/>
  <c r="F45" i="1"/>
  <c r="G45" i="1" s="1"/>
  <c r="I45" i="1" s="1"/>
  <c r="E36" i="1"/>
  <c r="E18" i="3" s="1"/>
  <c r="E46" i="1"/>
  <c r="F46" i="1" s="1"/>
  <c r="G46" i="1" s="1"/>
  <c r="I46" i="1" s="1"/>
  <c r="E28" i="1"/>
  <c r="E36" i="3" s="1"/>
  <c r="F28" i="1"/>
  <c r="G28" i="1" s="1"/>
  <c r="I28" i="1" s="1"/>
  <c r="E55" i="1"/>
  <c r="E29" i="3" s="1"/>
  <c r="F55" i="1"/>
  <c r="G55" i="1" s="1"/>
  <c r="K55" i="1" s="1"/>
  <c r="E42" i="1"/>
  <c r="E22" i="3" s="1"/>
  <c r="E33" i="1"/>
  <c r="E15" i="3" s="1"/>
  <c r="E51" i="1"/>
  <c r="F51" i="1"/>
  <c r="U51" i="1" s="1"/>
  <c r="E24" i="1"/>
  <c r="E33" i="3" s="1"/>
  <c r="E27" i="1"/>
  <c r="F27" i="1"/>
  <c r="G27" i="1" s="1"/>
  <c r="I27" i="1" s="1"/>
  <c r="E38" i="1"/>
  <c r="E20" i="3" s="1"/>
  <c r="E29" i="1"/>
  <c r="F29" i="1" s="1"/>
  <c r="G29" i="1" s="1"/>
  <c r="I29" i="1" s="1"/>
  <c r="E47" i="1"/>
  <c r="F47" i="1" s="1"/>
  <c r="G47" i="1" s="1"/>
  <c r="I47" i="1" s="1"/>
  <c r="E21" i="1"/>
  <c r="E30" i="3" s="1"/>
  <c r="E44" i="1"/>
  <c r="E24" i="3" s="1"/>
  <c r="F44" i="1"/>
  <c r="G44" i="1" s="1"/>
  <c r="I44" i="1" s="1"/>
  <c r="E35" i="1"/>
  <c r="F35" i="1" s="1"/>
  <c r="G35" i="1" s="1"/>
  <c r="I35" i="1" s="1"/>
  <c r="E56" i="1"/>
  <c r="E43" i="3" s="1"/>
  <c r="C12" i="2"/>
  <c r="C16" i="2"/>
  <c r="D18" i="2"/>
  <c r="E21" i="3"/>
  <c r="E28" i="3"/>
  <c r="E34" i="3"/>
  <c r="E39" i="3"/>
  <c r="E25" i="3"/>
  <c r="E32" i="3"/>
  <c r="E17" i="3"/>
  <c r="E16" i="3"/>
  <c r="E37" i="3"/>
  <c r="E40" i="3"/>
  <c r="E13" i="3"/>
  <c r="E11" i="3"/>
  <c r="E27" i="3"/>
  <c r="E12" i="3"/>
  <c r="O33" i="2"/>
  <c r="O39" i="2"/>
  <c r="O25" i="2"/>
  <c r="O21" i="2"/>
  <c r="O31" i="2"/>
  <c r="O30" i="2"/>
  <c r="O26" i="2"/>
  <c r="O24" i="2"/>
  <c r="O34" i="2"/>
  <c r="O29" i="2"/>
  <c r="O23" i="2"/>
  <c r="O32" i="2"/>
  <c r="O22" i="2"/>
  <c r="O35" i="2"/>
  <c r="O36" i="2"/>
  <c r="O27" i="2"/>
  <c r="O28" i="2"/>
  <c r="O37" i="2"/>
  <c r="O38" i="2"/>
  <c r="E38" i="3" l="1"/>
  <c r="F56" i="1"/>
  <c r="G56" i="1" s="1"/>
  <c r="I56" i="1" s="1"/>
  <c r="F42" i="1"/>
  <c r="G42" i="1" s="1"/>
  <c r="I42" i="1" s="1"/>
  <c r="F36" i="1"/>
  <c r="G36" i="1" s="1"/>
  <c r="I36" i="1" s="1"/>
  <c r="E26" i="3"/>
  <c r="F26" i="1"/>
  <c r="U26" i="1" s="1"/>
  <c r="F33" i="1"/>
  <c r="G33" i="1" s="1"/>
  <c r="I33" i="1" s="1"/>
  <c r="F21" i="1"/>
  <c r="G21" i="1" s="1"/>
  <c r="F38" i="1"/>
  <c r="G38" i="1" s="1"/>
  <c r="I38" i="1" s="1"/>
  <c r="F24" i="1"/>
  <c r="G24" i="1" s="1"/>
  <c r="I24" i="1" s="1"/>
  <c r="F17" i="1"/>
  <c r="C12" i="1"/>
  <c r="C11" i="1"/>
  <c r="O54" i="1" l="1"/>
  <c r="O23" i="1"/>
  <c r="O44" i="1"/>
  <c r="O52" i="1"/>
  <c r="O28" i="1"/>
  <c r="O51" i="1"/>
  <c r="O47" i="1"/>
  <c r="O37" i="1"/>
  <c r="O36" i="1"/>
  <c r="O39" i="1"/>
  <c r="O22" i="1"/>
  <c r="O33" i="1"/>
  <c r="O31" i="1"/>
  <c r="O25" i="1"/>
  <c r="O21" i="1"/>
  <c r="O40" i="1"/>
  <c r="O55" i="1"/>
  <c r="O50" i="1"/>
  <c r="O45" i="1"/>
  <c r="O42" i="1"/>
  <c r="O43" i="1"/>
  <c r="C15" i="1"/>
  <c r="F18" i="1" s="1"/>
  <c r="O49" i="1"/>
  <c r="O24" i="1"/>
  <c r="O35" i="1"/>
  <c r="O29" i="1"/>
  <c r="O26" i="1"/>
  <c r="O27" i="1"/>
  <c r="O53" i="1"/>
  <c r="O41" i="1"/>
  <c r="O30" i="1"/>
  <c r="O56" i="1"/>
  <c r="O46" i="1"/>
  <c r="O48" i="1"/>
  <c r="O34" i="1"/>
  <c r="O38" i="1"/>
  <c r="O32" i="1"/>
  <c r="C16" i="1"/>
  <c r="D18" i="1" s="1"/>
  <c r="I21" i="1"/>
  <c r="C18" i="1" l="1"/>
  <c r="F19" i="1"/>
</calcChain>
</file>

<file path=xl/sharedStrings.xml><?xml version="1.0" encoding="utf-8"?>
<sst xmlns="http://schemas.openxmlformats.org/spreadsheetml/2006/main" count="479" uniqueCount="213">
  <si>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</si>
  <si>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</si>
  <si>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</si>
  <si>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</si>
  <si>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</si>
  <si>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</si>
  <si>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</si>
  <si>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</si>
  <si>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</si>
  <si>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</si>
  <si>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</si>
  <si>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</si>
  <si>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</si>
  <si>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</si>
  <si>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</si>
  <si>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</si>
  <si>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</si>
  <si>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</si>
  <si>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</si>
  <si>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</si>
  <si>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</si>
  <si>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</si>
  <si>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</si>
  <si>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</si>
  <si>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</si>
  <si>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</si>
  <si>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</si>
  <si>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</si>
  <si>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</si>
  <si>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</si>
  <si>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</si>
  <si>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RX CMa</t>
  </si>
  <si>
    <t>v</t>
  </si>
  <si>
    <t>BBSAG 13</t>
  </si>
  <si>
    <t>K</t>
  </si>
  <si>
    <t>BBSAG 21</t>
  </si>
  <si>
    <t>BBSAG 25</t>
  </si>
  <si>
    <t>BBSAG 26</t>
  </si>
  <si>
    <t>BBSAG 27</t>
  </si>
  <si>
    <t>BBSAG 41</t>
  </si>
  <si>
    <t>BBSAG 57</t>
  </si>
  <si>
    <t>BBSAG 58</t>
  </si>
  <si>
    <t>BBSAG 59</t>
  </si>
  <si>
    <t>BBSAG 68</t>
  </si>
  <si>
    <t>BBSAG 82</t>
  </si>
  <si>
    <t>BBSAG 86</t>
  </si>
  <si>
    <t>BBSAG 89</t>
  </si>
  <si>
    <t>BBSAG 91</t>
  </si>
  <si>
    <t>BBSAG 94</t>
  </si>
  <si>
    <t>BBSAG 117</t>
  </si>
  <si>
    <t>IBVS 5543</t>
  </si>
  <si>
    <t>I</t>
  </si>
  <si>
    <t>IBVS</t>
  </si>
  <si>
    <t>BBSAG 120</t>
  </si>
  <si>
    <t>EA/SD</t>
  </si>
  <si>
    <t>IBVS 0046</t>
  </si>
  <si>
    <t># of data points:</t>
  </si>
  <si>
    <t>RX CMa / gsc 0177-0251</t>
  </si>
  <si>
    <t>IBVS 5438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</si>
  <si>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</si>
  <si>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</si>
  <si>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</si>
  <si>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</si>
  <si>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</si>
  <si>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</si>
  <si>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</si>
  <si>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</si>
  <si>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</si>
  <si>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</si>
  <si>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</si>
  <si>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</si>
  <si>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</si>
  <si>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</si>
  <si>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</si>
  <si>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</si>
  <si>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</si>
  <si>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</si>
  <si>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</si>
  <si>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</si>
  <si>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2426034.221 </t>
  </si>
  <si>
    <t> 26.02.1930 17:18 </t>
  </si>
  <si>
    <t> 0.054 </t>
  </si>
  <si>
    <t>V </t>
  </si>
  <si>
    <t> J.Pagaczewski </t>
  </si>
  <si>
    <t> AAC 2.50 </t>
  </si>
  <si>
    <t>2426065.250 </t>
  </si>
  <si>
    <t> 29.03.1930 18:00 </t>
  </si>
  <si>
    <t> 0.046 </t>
  </si>
  <si>
    <t>2426067.325 </t>
  </si>
  <si>
    <t> 31.03.1930 19:48 </t>
  </si>
  <si>
    <t> 0.052 </t>
  </si>
  <si>
    <t>2426309.415 </t>
  </si>
  <si>
    <t> 28.11.1930 21:57 </t>
  </si>
  <si>
    <t> 0.059 </t>
  </si>
  <si>
    <t>2426781.154 </t>
  </si>
  <si>
    <t> 14.03.1932 15:41 </t>
  </si>
  <si>
    <t> N.Florja </t>
  </si>
  <si>
    <t> PSMO 8.2.52 </t>
  </si>
  <si>
    <t>2426859.150 </t>
  </si>
  <si>
    <t> 31.05.1932 15:36 </t>
  </si>
  <si>
    <t> -0.583 </t>
  </si>
  <si>
    <t>2438440.400 </t>
  </si>
  <si>
    <t> 14.02.1964 21:36 </t>
  </si>
  <si>
    <t> -0.019 </t>
  </si>
  <si>
    <t> K.Kordylewski </t>
  </si>
  <si>
    <t>IBVS 46 </t>
  </si>
  <si>
    <t>2441707.487 </t>
  </si>
  <si>
    <t> 24.01.1973 23:41 </t>
  </si>
  <si>
    <t> -0.022 </t>
  </si>
  <si>
    <t> K.Locher </t>
  </si>
  <si>
    <t> BBS 7 </t>
  </si>
  <si>
    <t>2442036.480 </t>
  </si>
  <si>
    <t> 19.12.1973 23:31 </t>
  </si>
  <si>
    <t> -0.014 </t>
  </si>
  <si>
    <t> BBS 13 </t>
  </si>
  <si>
    <t>2442454.440 </t>
  </si>
  <si>
    <t> 10.02.1975 22:33 </t>
  </si>
  <si>
    <t> -0.010 </t>
  </si>
  <si>
    <t> BBS 21 </t>
  </si>
  <si>
    <t>2442758.600 </t>
  </si>
  <si>
    <t> 12.12.1975 02:24 </t>
  </si>
  <si>
    <t> -0.006 </t>
  </si>
  <si>
    <t> BBS 25 </t>
  </si>
  <si>
    <t>2442785.497 </t>
  </si>
  <si>
    <t> 07.01.1976 23:55 </t>
  </si>
  <si>
    <t> -0.007 </t>
  </si>
  <si>
    <t> BBS 26 </t>
  </si>
  <si>
    <t>2442841.358 </t>
  </si>
  <si>
    <t> 03.03.1976 20:35 </t>
  </si>
  <si>
    <t> -0.011 </t>
  </si>
  <si>
    <t> BBS 27 </t>
  </si>
  <si>
    <t>2443890.389 </t>
  </si>
  <si>
    <t> 16.01.1979 21:20 </t>
  </si>
  <si>
    <t> -0.008 </t>
  </si>
  <si>
    <t> BBS 41 </t>
  </si>
  <si>
    <t>2444885.612 </t>
  </si>
  <si>
    <t> 08.10.1981 02:41 </t>
  </si>
  <si>
    <t> -0.016 </t>
  </si>
  <si>
    <t> BBS 57 </t>
  </si>
  <si>
    <t>2445001.469 </t>
  </si>
  <si>
    <t> 31.01.1982 23:15 </t>
  </si>
  <si>
    <t> -0.028 </t>
  </si>
  <si>
    <t> BBS 58 </t>
  </si>
  <si>
    <t>2445028.373 </t>
  </si>
  <si>
    <t> 27.02.1982 20:57 </t>
  </si>
  <si>
    <t> BBS 59 </t>
  </si>
  <si>
    <t>2445386.323 </t>
  </si>
  <si>
    <t> 20.02.1983 19:45 </t>
  </si>
  <si>
    <t> -0.024 </t>
  </si>
  <si>
    <t> G.Mavrofridis </t>
  </si>
  <si>
    <t> BBS 68 </t>
  </si>
  <si>
    <t>2446770.558 </t>
  </si>
  <si>
    <t> 06.12.1986 01:23 </t>
  </si>
  <si>
    <t> -0.009 </t>
  </si>
  <si>
    <t> BBS 82 </t>
  </si>
  <si>
    <t>2447159.547 </t>
  </si>
  <si>
    <t> 30.12.1987 01:07 </t>
  </si>
  <si>
    <t> BBS 86 </t>
  </si>
  <si>
    <t>2447432.659 </t>
  </si>
  <si>
    <t> 28.09.1988 03:48 </t>
  </si>
  <si>
    <t> BBS 89 </t>
  </si>
  <si>
    <t>2447542.325 </t>
  </si>
  <si>
    <t> 15.01.1989 19:48 </t>
  </si>
  <si>
    <t> -0.012 </t>
  </si>
  <si>
    <t> BBS 91 </t>
  </si>
  <si>
    <t>2447962.347 </t>
  </si>
  <si>
    <t> 11.03.1990 20:19 </t>
  </si>
  <si>
    <t> -0.015 </t>
  </si>
  <si>
    <t> BBS 94 </t>
  </si>
  <si>
    <t>2450865.292 </t>
  </si>
  <si>
    <t> 20.02.1998 19:00 </t>
  </si>
  <si>
    <t> -0.000 </t>
  </si>
  <si>
    <t> BBS 117 </t>
  </si>
  <si>
    <t>2451190.14 </t>
  </si>
  <si>
    <t> 11.01.1999 15:21 </t>
  </si>
  <si>
    <t> 0.00 </t>
  </si>
  <si>
    <t>C </t>
  </si>
  <si>
    <t> S.Kiyota </t>
  </si>
  <si>
    <t>VSB 47 </t>
  </si>
  <si>
    <t>2451225.322 </t>
  </si>
  <si>
    <t> 15.02.1999 19:43 </t>
  </si>
  <si>
    <t> 0.008 </t>
  </si>
  <si>
    <t> BBS 120 </t>
  </si>
  <si>
    <t>2451473.616 </t>
  </si>
  <si>
    <t> 22.10.1999 02:47 </t>
  </si>
  <si>
    <t> 0.012 </t>
  </si>
  <si>
    <t> BBS 121 </t>
  </si>
  <si>
    <t>2451614.302 </t>
  </si>
  <si>
    <t> 10.03.2000 19:14 </t>
  </si>
  <si>
    <t> BBS 122 </t>
  </si>
  <si>
    <t>2451694.353 </t>
  </si>
  <si>
    <t> 29.05.2000 20:28 </t>
  </si>
  <si>
    <t> 0.391 </t>
  </si>
  <si>
    <t> BBS 129 </t>
  </si>
  <si>
    <t>2452270.1918 </t>
  </si>
  <si>
    <t> 26.12.2001 16:36 </t>
  </si>
  <si>
    <t> -0.0113 </t>
  </si>
  <si>
    <t>E </t>
  </si>
  <si>
    <t>?</t>
  </si>
  <si>
    <t>VSB 39 </t>
  </si>
  <si>
    <t>2452940.582 </t>
  </si>
  <si>
    <t> 28.10.2003 01:58 </t>
  </si>
  <si>
    <t> BBS 130 </t>
  </si>
  <si>
    <t>2453385.425 </t>
  </si>
  <si>
    <t> 14.01.2005 22:12 </t>
  </si>
  <si>
    <t> -0.017 </t>
  </si>
  <si>
    <t>OEJV 0003 </t>
  </si>
  <si>
    <t>2453708.2036 </t>
  </si>
  <si>
    <t> 03.12.2005 16:53 </t>
  </si>
  <si>
    <t> -0.0157 </t>
  </si>
  <si>
    <t>VSB 44 </t>
  </si>
  <si>
    <t>II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</si>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</sst>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CMa - O-C Diagr.</a:t>
            </a:r>
          </a:p>
        </c:rich>
      </c:tx>
      <c:layout>
        <c:manualLayout>
          <c:xMode val="edge"/>
          <c:yMode val="edge"/>
          <c:x val="0.3678933277153064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5161561619429"/>
          <c:y val="0.14769252958613219"/>
          <c:w val="0.8093652093609634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-7916</c:v>
                </c:pt>
                <c:pt idx="1">
                  <c:v>-7901</c:v>
                </c:pt>
                <c:pt idx="2">
                  <c:v>-7900</c:v>
                </c:pt>
                <c:pt idx="3">
                  <c:v>-7783</c:v>
                </c:pt>
                <c:pt idx="4">
                  <c:v>-7555</c:v>
                </c:pt>
                <c:pt idx="5">
                  <c:v>-7517</c:v>
                </c:pt>
                <c:pt idx="6">
                  <c:v>-1920</c:v>
                </c:pt>
                <c:pt idx="7">
                  <c:v>-341</c:v>
                </c:pt>
                <c:pt idx="8">
                  <c:v>-182</c:v>
                </c:pt>
                <c:pt idx="9">
                  <c:v>0</c:v>
                </c:pt>
                <c:pt idx="10">
                  <c:v>20</c:v>
                </c:pt>
                <c:pt idx="11">
                  <c:v>167</c:v>
                </c:pt>
                <c:pt idx="12">
                  <c:v>180</c:v>
                </c:pt>
                <c:pt idx="13">
                  <c:v>207</c:v>
                </c:pt>
                <c:pt idx="14">
                  <c:v>714</c:v>
                </c:pt>
                <c:pt idx="15">
                  <c:v>1195</c:v>
                </c:pt>
                <c:pt idx="16">
                  <c:v>1251</c:v>
                </c:pt>
                <c:pt idx="17">
                  <c:v>1264</c:v>
                </c:pt>
                <c:pt idx="18">
                  <c:v>1437</c:v>
                </c:pt>
                <c:pt idx="19">
                  <c:v>1437</c:v>
                </c:pt>
                <c:pt idx="20">
                  <c:v>2106</c:v>
                </c:pt>
                <c:pt idx="21">
                  <c:v>2294</c:v>
                </c:pt>
                <c:pt idx="22">
                  <c:v>2426</c:v>
                </c:pt>
                <c:pt idx="23">
                  <c:v>2479</c:v>
                </c:pt>
                <c:pt idx="24">
                  <c:v>2682</c:v>
                </c:pt>
                <c:pt idx="25">
                  <c:v>4085</c:v>
                </c:pt>
                <c:pt idx="26">
                  <c:v>4242</c:v>
                </c:pt>
                <c:pt idx="27">
                  <c:v>4259</c:v>
                </c:pt>
                <c:pt idx="28">
                  <c:v>4379</c:v>
                </c:pt>
                <c:pt idx="29">
                  <c:v>4447</c:v>
                </c:pt>
                <c:pt idx="30">
                  <c:v>4485.5</c:v>
                </c:pt>
                <c:pt idx="31">
                  <c:v>4764</c:v>
                </c:pt>
                <c:pt idx="32">
                  <c:v>4969</c:v>
                </c:pt>
                <c:pt idx="33">
                  <c:v>5088</c:v>
                </c:pt>
                <c:pt idx="34">
                  <c:v>5303</c:v>
                </c:pt>
                <c:pt idx="35">
                  <c:v>5459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0-4E65-A4DD-F73B1B13FC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  <c:pt idx="26">
                    <c:v>0</c:v>
                  </c:pt>
                  <c:pt idx="27">
                    <c:v>5.0000000000000001E-3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  <c:pt idx="26">
                    <c:v>0</c:v>
                  </c:pt>
                  <c:pt idx="27">
                    <c:v>5.0000000000000001E-3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-7916</c:v>
                </c:pt>
                <c:pt idx="1">
                  <c:v>-7901</c:v>
                </c:pt>
                <c:pt idx="2">
                  <c:v>-7900</c:v>
                </c:pt>
                <c:pt idx="3">
                  <c:v>-7783</c:v>
                </c:pt>
                <c:pt idx="4">
                  <c:v>-7555</c:v>
                </c:pt>
                <c:pt idx="5">
                  <c:v>-7517</c:v>
                </c:pt>
                <c:pt idx="6">
                  <c:v>-1920</c:v>
                </c:pt>
                <c:pt idx="7">
                  <c:v>-341</c:v>
                </c:pt>
                <c:pt idx="8">
                  <c:v>-182</c:v>
                </c:pt>
                <c:pt idx="9">
                  <c:v>0</c:v>
                </c:pt>
                <c:pt idx="10">
                  <c:v>20</c:v>
                </c:pt>
                <c:pt idx="11">
                  <c:v>167</c:v>
                </c:pt>
                <c:pt idx="12">
                  <c:v>180</c:v>
                </c:pt>
                <c:pt idx="13">
                  <c:v>207</c:v>
                </c:pt>
                <c:pt idx="14">
                  <c:v>714</c:v>
                </c:pt>
                <c:pt idx="15">
                  <c:v>1195</c:v>
                </c:pt>
                <c:pt idx="16">
                  <c:v>1251</c:v>
                </c:pt>
                <c:pt idx="17">
                  <c:v>1264</c:v>
                </c:pt>
                <c:pt idx="18">
                  <c:v>1437</c:v>
                </c:pt>
                <c:pt idx="19">
                  <c:v>1437</c:v>
                </c:pt>
                <c:pt idx="20">
                  <c:v>2106</c:v>
                </c:pt>
                <c:pt idx="21">
                  <c:v>2294</c:v>
                </c:pt>
                <c:pt idx="22">
                  <c:v>2426</c:v>
                </c:pt>
                <c:pt idx="23">
                  <c:v>2479</c:v>
                </c:pt>
                <c:pt idx="24">
                  <c:v>2682</c:v>
                </c:pt>
                <c:pt idx="25">
                  <c:v>4085</c:v>
                </c:pt>
                <c:pt idx="26">
                  <c:v>4242</c:v>
                </c:pt>
                <c:pt idx="27">
                  <c:v>4259</c:v>
                </c:pt>
                <c:pt idx="28">
                  <c:v>4379</c:v>
                </c:pt>
                <c:pt idx="29">
                  <c:v>4447</c:v>
                </c:pt>
                <c:pt idx="30">
                  <c:v>4485.5</c:v>
                </c:pt>
                <c:pt idx="31">
                  <c:v>4764</c:v>
                </c:pt>
                <c:pt idx="32">
                  <c:v>4969</c:v>
                </c:pt>
                <c:pt idx="33">
                  <c:v>5088</c:v>
                </c:pt>
                <c:pt idx="34">
                  <c:v>5303</c:v>
                </c:pt>
                <c:pt idx="35">
                  <c:v>5459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0.25368359999993118</c:v>
                </c:pt>
                <c:pt idx="1">
                  <c:v>0.24600209999698563</c:v>
                </c:pt>
                <c:pt idx="2">
                  <c:v>0.25188999999591033</c:v>
                </c:pt>
                <c:pt idx="3">
                  <c:v>0.2557742999997572</c:v>
                </c:pt>
                <c:pt idx="4">
                  <c:v>0.23721549999390845</c:v>
                </c:pt>
                <c:pt idx="6">
                  <c:v>3.6531999998260289E-2</c:v>
                </c:pt>
                <c:pt idx="7">
                  <c:v>-4.4739000004483387E-3</c:v>
                </c:pt>
                <c:pt idx="8">
                  <c:v>-2.9779999749734998E-4</c:v>
                </c:pt>
                <c:pt idx="10">
                  <c:v>-9.4199999875854701E-4</c:v>
                </c:pt>
                <c:pt idx="11">
                  <c:v>-4.2070000199601054E-4</c:v>
                </c:pt>
                <c:pt idx="12">
                  <c:v>-1.8779999954858795E-3</c:v>
                </c:pt>
                <c:pt idx="13">
                  <c:v>-6.9046999997226521E-3</c:v>
                </c:pt>
                <c:pt idx="14">
                  <c:v>-1.5739399997983128E-2</c:v>
                </c:pt>
                <c:pt idx="15">
                  <c:v>-3.5659499997564126E-2</c:v>
                </c:pt>
                <c:pt idx="16">
                  <c:v>-4.8937100000330247E-2</c:v>
                </c:pt>
                <c:pt idx="17">
                  <c:v>-4.3394400003307965E-2</c:v>
                </c:pt>
                <c:pt idx="18">
                  <c:v>-4.9787700001616031E-2</c:v>
                </c:pt>
                <c:pt idx="19">
                  <c:v>-4.6787699997366872E-2</c:v>
                </c:pt>
                <c:pt idx="20">
                  <c:v>-5.0782600003003608E-2</c:v>
                </c:pt>
                <c:pt idx="21">
                  <c:v>-5.4857400005857926E-2</c:v>
                </c:pt>
                <c:pt idx="22">
                  <c:v>-6.5654600002744701E-2</c:v>
                </c:pt>
                <c:pt idx="23">
                  <c:v>-6.2595900002634153E-2</c:v>
                </c:pt>
                <c:pt idx="24">
                  <c:v>-7.0352199996705167E-2</c:v>
                </c:pt>
                <c:pt idx="25">
                  <c:v>-8.9628499998070765E-2</c:v>
                </c:pt>
                <c:pt idx="26">
                  <c:v>-9.2228200002864469E-2</c:v>
                </c:pt>
                <c:pt idx="27">
                  <c:v>-8.5133900000073481E-2</c:v>
                </c:pt>
                <c:pt idx="28">
                  <c:v>-8.4585899996454827E-2</c:v>
                </c:pt>
                <c:pt idx="29">
                  <c:v>-9.8208699993847404E-2</c:v>
                </c:pt>
                <c:pt idx="31">
                  <c:v>-0.1169443999970099</c:v>
                </c:pt>
                <c:pt idx="35">
                  <c:v>-0.13805390000197804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0-4E65-A4DD-F73B1B13FC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-7916</c:v>
                </c:pt>
                <c:pt idx="1">
                  <c:v>-7901</c:v>
                </c:pt>
                <c:pt idx="2">
                  <c:v>-7900</c:v>
                </c:pt>
                <c:pt idx="3">
                  <c:v>-7783</c:v>
                </c:pt>
                <c:pt idx="4">
                  <c:v>-7555</c:v>
                </c:pt>
                <c:pt idx="5">
                  <c:v>-7517</c:v>
                </c:pt>
                <c:pt idx="6">
                  <c:v>-1920</c:v>
                </c:pt>
                <c:pt idx="7">
                  <c:v>-341</c:v>
                </c:pt>
                <c:pt idx="8">
                  <c:v>-182</c:v>
                </c:pt>
                <c:pt idx="9">
                  <c:v>0</c:v>
                </c:pt>
                <c:pt idx="10">
                  <c:v>20</c:v>
                </c:pt>
                <c:pt idx="11">
                  <c:v>167</c:v>
                </c:pt>
                <c:pt idx="12">
                  <c:v>180</c:v>
                </c:pt>
                <c:pt idx="13">
                  <c:v>207</c:v>
                </c:pt>
                <c:pt idx="14">
                  <c:v>714</c:v>
                </c:pt>
                <c:pt idx="15">
                  <c:v>1195</c:v>
                </c:pt>
                <c:pt idx="16">
                  <c:v>1251</c:v>
                </c:pt>
                <c:pt idx="17">
                  <c:v>1264</c:v>
                </c:pt>
                <c:pt idx="18">
                  <c:v>1437</c:v>
                </c:pt>
                <c:pt idx="19">
                  <c:v>1437</c:v>
                </c:pt>
                <c:pt idx="20">
                  <c:v>2106</c:v>
                </c:pt>
                <c:pt idx="21">
                  <c:v>2294</c:v>
                </c:pt>
                <c:pt idx="22">
                  <c:v>2426</c:v>
                </c:pt>
                <c:pt idx="23">
                  <c:v>2479</c:v>
                </c:pt>
                <c:pt idx="24">
                  <c:v>2682</c:v>
                </c:pt>
                <c:pt idx="25">
                  <c:v>4085</c:v>
                </c:pt>
                <c:pt idx="26">
                  <c:v>4242</c:v>
                </c:pt>
                <c:pt idx="27">
                  <c:v>4259</c:v>
                </c:pt>
                <c:pt idx="28">
                  <c:v>4379</c:v>
                </c:pt>
                <c:pt idx="29">
                  <c:v>4447</c:v>
                </c:pt>
                <c:pt idx="30">
                  <c:v>4485.5</c:v>
                </c:pt>
                <c:pt idx="31">
                  <c:v>4764</c:v>
                </c:pt>
                <c:pt idx="32">
                  <c:v>4969</c:v>
                </c:pt>
                <c:pt idx="33">
                  <c:v>5088</c:v>
                </c:pt>
                <c:pt idx="34">
                  <c:v>5303</c:v>
                </c:pt>
                <c:pt idx="35">
                  <c:v>5459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30-4E65-A4DD-F73B1B13FC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  <c:pt idx="26">
                    <c:v>0</c:v>
                  </c:pt>
                  <c:pt idx="27">
                    <c:v>5.0000000000000001E-3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  <c:pt idx="26">
                    <c:v>0</c:v>
                  </c:pt>
                  <c:pt idx="27">
                    <c:v>5.0000000000000001E-3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-7916</c:v>
                </c:pt>
                <c:pt idx="1">
                  <c:v>-7901</c:v>
                </c:pt>
                <c:pt idx="2">
                  <c:v>-7900</c:v>
                </c:pt>
                <c:pt idx="3">
                  <c:v>-7783</c:v>
                </c:pt>
                <c:pt idx="4">
                  <c:v>-7555</c:v>
                </c:pt>
                <c:pt idx="5">
                  <c:v>-7517</c:v>
                </c:pt>
                <c:pt idx="6">
                  <c:v>-1920</c:v>
                </c:pt>
                <c:pt idx="7">
                  <c:v>-341</c:v>
                </c:pt>
                <c:pt idx="8">
                  <c:v>-182</c:v>
                </c:pt>
                <c:pt idx="9">
                  <c:v>0</c:v>
                </c:pt>
                <c:pt idx="10">
                  <c:v>20</c:v>
                </c:pt>
                <c:pt idx="11">
                  <c:v>167</c:v>
                </c:pt>
                <c:pt idx="12">
                  <c:v>180</c:v>
                </c:pt>
                <c:pt idx="13">
                  <c:v>207</c:v>
                </c:pt>
                <c:pt idx="14">
                  <c:v>714</c:v>
                </c:pt>
                <c:pt idx="15">
                  <c:v>1195</c:v>
                </c:pt>
                <c:pt idx="16">
                  <c:v>1251</c:v>
                </c:pt>
                <c:pt idx="17">
                  <c:v>1264</c:v>
                </c:pt>
                <c:pt idx="18">
                  <c:v>1437</c:v>
                </c:pt>
                <c:pt idx="19">
                  <c:v>1437</c:v>
                </c:pt>
                <c:pt idx="20">
                  <c:v>2106</c:v>
                </c:pt>
                <c:pt idx="21">
                  <c:v>2294</c:v>
                </c:pt>
                <c:pt idx="22">
                  <c:v>2426</c:v>
                </c:pt>
                <c:pt idx="23">
                  <c:v>2479</c:v>
                </c:pt>
                <c:pt idx="24">
                  <c:v>2682</c:v>
                </c:pt>
                <c:pt idx="25">
                  <c:v>4085</c:v>
                </c:pt>
                <c:pt idx="26">
                  <c:v>4242</c:v>
                </c:pt>
                <c:pt idx="27">
                  <c:v>4259</c:v>
                </c:pt>
                <c:pt idx="28">
                  <c:v>4379</c:v>
                </c:pt>
                <c:pt idx="29">
                  <c:v>4447</c:v>
                </c:pt>
                <c:pt idx="30">
                  <c:v>4485.5</c:v>
                </c:pt>
                <c:pt idx="31">
                  <c:v>4764</c:v>
                </c:pt>
                <c:pt idx="32">
                  <c:v>4969</c:v>
                </c:pt>
                <c:pt idx="33">
                  <c:v>5088</c:v>
                </c:pt>
                <c:pt idx="34">
                  <c:v>5303</c:v>
                </c:pt>
                <c:pt idx="35">
                  <c:v>5459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2">
                  <c:v>-0.12372489999688696</c:v>
                </c:pt>
                <c:pt idx="33">
                  <c:v>-0.11906479999743169</c:v>
                </c:pt>
                <c:pt idx="34">
                  <c:v>-0.13516629999503493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30-4E65-A4DD-F73B1B13FC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  <c:pt idx="26">
                    <c:v>0</c:v>
                  </c:pt>
                  <c:pt idx="27">
                    <c:v>5.0000000000000001E-3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  <c:pt idx="26">
                    <c:v>0</c:v>
                  </c:pt>
                  <c:pt idx="27">
                    <c:v>5.0000000000000001E-3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-7916</c:v>
                </c:pt>
                <c:pt idx="1">
                  <c:v>-7901</c:v>
                </c:pt>
                <c:pt idx="2">
                  <c:v>-7900</c:v>
                </c:pt>
                <c:pt idx="3">
                  <c:v>-7783</c:v>
                </c:pt>
                <c:pt idx="4">
                  <c:v>-7555</c:v>
                </c:pt>
                <c:pt idx="5">
                  <c:v>-7517</c:v>
                </c:pt>
                <c:pt idx="6">
                  <c:v>-1920</c:v>
                </c:pt>
                <c:pt idx="7">
                  <c:v>-341</c:v>
                </c:pt>
                <c:pt idx="8">
                  <c:v>-182</c:v>
                </c:pt>
                <c:pt idx="9">
                  <c:v>0</c:v>
                </c:pt>
                <c:pt idx="10">
                  <c:v>20</c:v>
                </c:pt>
                <c:pt idx="11">
                  <c:v>167</c:v>
                </c:pt>
                <c:pt idx="12">
                  <c:v>180</c:v>
                </c:pt>
                <c:pt idx="13">
                  <c:v>207</c:v>
                </c:pt>
                <c:pt idx="14">
                  <c:v>714</c:v>
                </c:pt>
                <c:pt idx="15">
                  <c:v>1195</c:v>
                </c:pt>
                <c:pt idx="16">
                  <c:v>1251</c:v>
                </c:pt>
                <c:pt idx="17">
                  <c:v>1264</c:v>
                </c:pt>
                <c:pt idx="18">
                  <c:v>1437</c:v>
                </c:pt>
                <c:pt idx="19">
                  <c:v>1437</c:v>
                </c:pt>
                <c:pt idx="20">
                  <c:v>2106</c:v>
                </c:pt>
                <c:pt idx="21">
                  <c:v>2294</c:v>
                </c:pt>
                <c:pt idx="22">
                  <c:v>2426</c:v>
                </c:pt>
                <c:pt idx="23">
                  <c:v>2479</c:v>
                </c:pt>
                <c:pt idx="24">
                  <c:v>2682</c:v>
                </c:pt>
                <c:pt idx="25">
                  <c:v>4085</c:v>
                </c:pt>
                <c:pt idx="26">
                  <c:v>4242</c:v>
                </c:pt>
                <c:pt idx="27">
                  <c:v>4259</c:v>
                </c:pt>
                <c:pt idx="28">
                  <c:v>4379</c:v>
                </c:pt>
                <c:pt idx="29">
                  <c:v>4447</c:v>
                </c:pt>
                <c:pt idx="30">
                  <c:v>4485.5</c:v>
                </c:pt>
                <c:pt idx="31">
                  <c:v>4764</c:v>
                </c:pt>
                <c:pt idx="32">
                  <c:v>4969</c:v>
                </c:pt>
                <c:pt idx="33">
                  <c:v>5088</c:v>
                </c:pt>
                <c:pt idx="34">
                  <c:v>5303</c:v>
                </c:pt>
                <c:pt idx="35">
                  <c:v>5459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30-4E65-A4DD-F73B1B13FC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  <c:pt idx="26">
                    <c:v>0</c:v>
                  </c:pt>
                  <c:pt idx="27">
                    <c:v>5.0000000000000001E-3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  <c:pt idx="26">
                    <c:v>0</c:v>
                  </c:pt>
                  <c:pt idx="27">
                    <c:v>5.0000000000000001E-3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-7916</c:v>
                </c:pt>
                <c:pt idx="1">
                  <c:v>-7901</c:v>
                </c:pt>
                <c:pt idx="2">
                  <c:v>-7900</c:v>
                </c:pt>
                <c:pt idx="3">
                  <c:v>-7783</c:v>
                </c:pt>
                <c:pt idx="4">
                  <c:v>-7555</c:v>
                </c:pt>
                <c:pt idx="5">
                  <c:v>-7517</c:v>
                </c:pt>
                <c:pt idx="6">
                  <c:v>-1920</c:v>
                </c:pt>
                <c:pt idx="7">
                  <c:v>-341</c:v>
                </c:pt>
                <c:pt idx="8">
                  <c:v>-182</c:v>
                </c:pt>
                <c:pt idx="9">
                  <c:v>0</c:v>
                </c:pt>
                <c:pt idx="10">
                  <c:v>20</c:v>
                </c:pt>
                <c:pt idx="11">
                  <c:v>167</c:v>
                </c:pt>
                <c:pt idx="12">
                  <c:v>180</c:v>
                </c:pt>
                <c:pt idx="13">
                  <c:v>207</c:v>
                </c:pt>
                <c:pt idx="14">
                  <c:v>714</c:v>
                </c:pt>
                <c:pt idx="15">
                  <c:v>1195</c:v>
                </c:pt>
                <c:pt idx="16">
                  <c:v>1251</c:v>
                </c:pt>
                <c:pt idx="17">
                  <c:v>1264</c:v>
                </c:pt>
                <c:pt idx="18">
                  <c:v>1437</c:v>
                </c:pt>
                <c:pt idx="19">
                  <c:v>1437</c:v>
                </c:pt>
                <c:pt idx="20">
                  <c:v>2106</c:v>
                </c:pt>
                <c:pt idx="21">
                  <c:v>2294</c:v>
                </c:pt>
                <c:pt idx="22">
                  <c:v>2426</c:v>
                </c:pt>
                <c:pt idx="23">
                  <c:v>2479</c:v>
                </c:pt>
                <c:pt idx="24">
                  <c:v>2682</c:v>
                </c:pt>
                <c:pt idx="25">
                  <c:v>4085</c:v>
                </c:pt>
                <c:pt idx="26">
                  <c:v>4242</c:v>
                </c:pt>
                <c:pt idx="27">
                  <c:v>4259</c:v>
                </c:pt>
                <c:pt idx="28">
                  <c:v>4379</c:v>
                </c:pt>
                <c:pt idx="29">
                  <c:v>4447</c:v>
                </c:pt>
                <c:pt idx="30">
                  <c:v>4485.5</c:v>
                </c:pt>
                <c:pt idx="31">
                  <c:v>4764</c:v>
                </c:pt>
                <c:pt idx="32">
                  <c:v>4969</c:v>
                </c:pt>
                <c:pt idx="33">
                  <c:v>5088</c:v>
                </c:pt>
                <c:pt idx="34">
                  <c:v>5303</c:v>
                </c:pt>
                <c:pt idx="35">
                  <c:v>5459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30-4E65-A4DD-F73B1B13FC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  <c:pt idx="26">
                    <c:v>0</c:v>
                  </c:pt>
                  <c:pt idx="27">
                    <c:v>5.0000000000000001E-3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8">
                    <c:v>0</c:v>
                  </c:pt>
                  <c:pt idx="26">
                    <c:v>0</c:v>
                  </c:pt>
                  <c:pt idx="27">
                    <c:v>5.0000000000000001E-3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2E-3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-7916</c:v>
                </c:pt>
                <c:pt idx="1">
                  <c:v>-7901</c:v>
                </c:pt>
                <c:pt idx="2">
                  <c:v>-7900</c:v>
                </c:pt>
                <c:pt idx="3">
                  <c:v>-7783</c:v>
                </c:pt>
                <c:pt idx="4">
                  <c:v>-7555</c:v>
                </c:pt>
                <c:pt idx="5">
                  <c:v>-7517</c:v>
                </c:pt>
                <c:pt idx="6">
                  <c:v>-1920</c:v>
                </c:pt>
                <c:pt idx="7">
                  <c:v>-341</c:v>
                </c:pt>
                <c:pt idx="8">
                  <c:v>-182</c:v>
                </c:pt>
                <c:pt idx="9">
                  <c:v>0</c:v>
                </c:pt>
                <c:pt idx="10">
                  <c:v>20</c:v>
                </c:pt>
                <c:pt idx="11">
                  <c:v>167</c:v>
                </c:pt>
                <c:pt idx="12">
                  <c:v>180</c:v>
                </c:pt>
                <c:pt idx="13">
                  <c:v>207</c:v>
                </c:pt>
                <c:pt idx="14">
                  <c:v>714</c:v>
                </c:pt>
                <c:pt idx="15">
                  <c:v>1195</c:v>
                </c:pt>
                <c:pt idx="16">
                  <c:v>1251</c:v>
                </c:pt>
                <c:pt idx="17">
                  <c:v>1264</c:v>
                </c:pt>
                <c:pt idx="18">
                  <c:v>1437</c:v>
                </c:pt>
                <c:pt idx="19">
                  <c:v>1437</c:v>
                </c:pt>
                <c:pt idx="20">
                  <c:v>2106</c:v>
                </c:pt>
                <c:pt idx="21">
                  <c:v>2294</c:v>
                </c:pt>
                <c:pt idx="22">
                  <c:v>2426</c:v>
                </c:pt>
                <c:pt idx="23">
                  <c:v>2479</c:v>
                </c:pt>
                <c:pt idx="24">
                  <c:v>2682</c:v>
                </c:pt>
                <c:pt idx="25">
                  <c:v>4085</c:v>
                </c:pt>
                <c:pt idx="26">
                  <c:v>4242</c:v>
                </c:pt>
                <c:pt idx="27">
                  <c:v>4259</c:v>
                </c:pt>
                <c:pt idx="28">
                  <c:v>4379</c:v>
                </c:pt>
                <c:pt idx="29">
                  <c:v>4447</c:v>
                </c:pt>
                <c:pt idx="30">
                  <c:v>4485.5</c:v>
                </c:pt>
                <c:pt idx="31">
                  <c:v>4764</c:v>
                </c:pt>
                <c:pt idx="32">
                  <c:v>4969</c:v>
                </c:pt>
                <c:pt idx="33">
                  <c:v>5088</c:v>
                </c:pt>
                <c:pt idx="34">
                  <c:v>5303</c:v>
                </c:pt>
                <c:pt idx="35">
                  <c:v>5459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30-4E65-A4DD-F73B1B13FC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-7916</c:v>
                </c:pt>
                <c:pt idx="1">
                  <c:v>-7901</c:v>
                </c:pt>
                <c:pt idx="2">
                  <c:v>-7900</c:v>
                </c:pt>
                <c:pt idx="3">
                  <c:v>-7783</c:v>
                </c:pt>
                <c:pt idx="4">
                  <c:v>-7555</c:v>
                </c:pt>
                <c:pt idx="5">
                  <c:v>-7517</c:v>
                </c:pt>
                <c:pt idx="6">
                  <c:v>-1920</c:v>
                </c:pt>
                <c:pt idx="7">
                  <c:v>-341</c:v>
                </c:pt>
                <c:pt idx="8">
                  <c:v>-182</c:v>
                </c:pt>
                <c:pt idx="9">
                  <c:v>0</c:v>
                </c:pt>
                <c:pt idx="10">
                  <c:v>20</c:v>
                </c:pt>
                <c:pt idx="11">
                  <c:v>167</c:v>
                </c:pt>
                <c:pt idx="12">
                  <c:v>180</c:v>
                </c:pt>
                <c:pt idx="13">
                  <c:v>207</c:v>
                </c:pt>
                <c:pt idx="14">
                  <c:v>714</c:v>
                </c:pt>
                <c:pt idx="15">
                  <c:v>1195</c:v>
                </c:pt>
                <c:pt idx="16">
                  <c:v>1251</c:v>
                </c:pt>
                <c:pt idx="17">
                  <c:v>1264</c:v>
                </c:pt>
                <c:pt idx="18">
                  <c:v>1437</c:v>
                </c:pt>
                <c:pt idx="19">
                  <c:v>1437</c:v>
                </c:pt>
                <c:pt idx="20">
                  <c:v>2106</c:v>
                </c:pt>
                <c:pt idx="21">
                  <c:v>2294</c:v>
                </c:pt>
                <c:pt idx="22">
                  <c:v>2426</c:v>
                </c:pt>
                <c:pt idx="23">
                  <c:v>2479</c:v>
                </c:pt>
                <c:pt idx="24">
                  <c:v>2682</c:v>
                </c:pt>
                <c:pt idx="25">
                  <c:v>4085</c:v>
                </c:pt>
                <c:pt idx="26">
                  <c:v>4242</c:v>
                </c:pt>
                <c:pt idx="27">
                  <c:v>4259</c:v>
                </c:pt>
                <c:pt idx="28">
                  <c:v>4379</c:v>
                </c:pt>
                <c:pt idx="29">
                  <c:v>4447</c:v>
                </c:pt>
                <c:pt idx="30">
                  <c:v>4485.5</c:v>
                </c:pt>
                <c:pt idx="31">
                  <c:v>4764</c:v>
                </c:pt>
                <c:pt idx="32">
                  <c:v>4969</c:v>
                </c:pt>
                <c:pt idx="33">
                  <c:v>5088</c:v>
                </c:pt>
                <c:pt idx="34">
                  <c:v>5303</c:v>
                </c:pt>
                <c:pt idx="35">
                  <c:v>5459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0.23676484767967698</c:v>
                </c:pt>
                <c:pt idx="1">
                  <c:v>0.23633643787894149</c:v>
                </c:pt>
                <c:pt idx="2">
                  <c:v>0.23630787722555913</c:v>
                </c:pt>
                <c:pt idx="3">
                  <c:v>0.23296628077982226</c:v>
                </c:pt>
                <c:pt idx="4">
                  <c:v>0.22645445180864268</c:v>
                </c:pt>
                <c:pt idx="5">
                  <c:v>0.22536914698011276</c:v>
                </c:pt>
                <c:pt idx="6">
                  <c:v>6.5515169999007347E-2</c:v>
                </c:pt>
                <c:pt idx="7">
                  <c:v>2.0417898308250613E-2</c:v>
                </c:pt>
                <c:pt idx="8">
                  <c:v>1.5876754420454338E-2</c:v>
                </c:pt>
                <c:pt idx="9">
                  <c:v>1.067871550486363E-2</c:v>
                </c:pt>
                <c:pt idx="10">
                  <c:v>1.01075024372163E-2</c:v>
                </c:pt>
                <c:pt idx="11">
                  <c:v>5.9090863900084214E-3</c:v>
                </c:pt>
                <c:pt idx="12">
                  <c:v>5.537797896037657E-3</c:v>
                </c:pt>
                <c:pt idx="13">
                  <c:v>4.7666602547137603E-3</c:v>
                </c:pt>
                <c:pt idx="14">
                  <c:v>-9.7135910101460634E-3</c:v>
                </c:pt>
                <c:pt idx="15">
                  <c:v>-2.3451265287064364E-2</c:v>
                </c:pt>
                <c:pt idx="16">
                  <c:v>-2.5050661876476886E-2</c:v>
                </c:pt>
                <c:pt idx="17">
                  <c:v>-2.542195037044765E-2</c:v>
                </c:pt>
                <c:pt idx="18">
                  <c:v>-3.0362943405597059E-2</c:v>
                </c:pt>
                <c:pt idx="19">
                  <c:v>-3.0362943405597059E-2</c:v>
                </c:pt>
                <c:pt idx="20">
                  <c:v>-4.9470020518400264E-2</c:v>
                </c:pt>
                <c:pt idx="21">
                  <c:v>-5.4839423354285169E-2</c:v>
                </c:pt>
                <c:pt idx="22">
                  <c:v>-5.8609429600757545E-2</c:v>
                </c:pt>
                <c:pt idx="23">
                  <c:v>-6.0123144230022976E-2</c:v>
                </c:pt>
                <c:pt idx="24">
                  <c:v>-6.5920956866643371E-2</c:v>
                </c:pt>
                <c:pt idx="25">
                  <c:v>-0.1059915535621036</c:v>
                </c:pt>
                <c:pt idx="26">
                  <c:v>-0.11047557614313515</c:v>
                </c:pt>
                <c:pt idx="27">
                  <c:v>-0.11096110725063538</c:v>
                </c:pt>
                <c:pt idx="28">
                  <c:v>-0.11438838565651935</c:v>
                </c:pt>
                <c:pt idx="29">
                  <c:v>-0.11633051008652029</c:v>
                </c:pt>
                <c:pt idx="30">
                  <c:v>-0.11743009524174139</c:v>
                </c:pt>
                <c:pt idx="31">
                  <c:v>-0.12538423720873046</c:v>
                </c:pt>
                <c:pt idx="32">
                  <c:v>-0.13123917115211561</c:v>
                </c:pt>
                <c:pt idx="33">
                  <c:v>-0.13463788890461723</c:v>
                </c:pt>
                <c:pt idx="34">
                  <c:v>-0.14077842938182603</c:v>
                </c:pt>
                <c:pt idx="35">
                  <c:v>-0.1452338913094752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30-4E65-A4DD-F73B1B13FC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-7916</c:v>
                </c:pt>
                <c:pt idx="1">
                  <c:v>-7901</c:v>
                </c:pt>
                <c:pt idx="2">
                  <c:v>-7900</c:v>
                </c:pt>
                <c:pt idx="3">
                  <c:v>-7783</c:v>
                </c:pt>
                <c:pt idx="4">
                  <c:v>-7555</c:v>
                </c:pt>
                <c:pt idx="5">
                  <c:v>-7517</c:v>
                </c:pt>
                <c:pt idx="6">
                  <c:v>-1920</c:v>
                </c:pt>
                <c:pt idx="7">
                  <c:v>-341</c:v>
                </c:pt>
                <c:pt idx="8">
                  <c:v>-182</c:v>
                </c:pt>
                <c:pt idx="9">
                  <c:v>0</c:v>
                </c:pt>
                <c:pt idx="10">
                  <c:v>20</c:v>
                </c:pt>
                <c:pt idx="11">
                  <c:v>167</c:v>
                </c:pt>
                <c:pt idx="12">
                  <c:v>180</c:v>
                </c:pt>
                <c:pt idx="13">
                  <c:v>207</c:v>
                </c:pt>
                <c:pt idx="14">
                  <c:v>714</c:v>
                </c:pt>
                <c:pt idx="15">
                  <c:v>1195</c:v>
                </c:pt>
                <c:pt idx="16">
                  <c:v>1251</c:v>
                </c:pt>
                <c:pt idx="17">
                  <c:v>1264</c:v>
                </c:pt>
                <c:pt idx="18">
                  <c:v>1437</c:v>
                </c:pt>
                <c:pt idx="19">
                  <c:v>1437</c:v>
                </c:pt>
                <c:pt idx="20">
                  <c:v>2106</c:v>
                </c:pt>
                <c:pt idx="21">
                  <c:v>2294</c:v>
                </c:pt>
                <c:pt idx="22">
                  <c:v>2426</c:v>
                </c:pt>
                <c:pt idx="23">
                  <c:v>2479</c:v>
                </c:pt>
                <c:pt idx="24">
                  <c:v>2682</c:v>
                </c:pt>
                <c:pt idx="25">
                  <c:v>4085</c:v>
                </c:pt>
                <c:pt idx="26">
                  <c:v>4242</c:v>
                </c:pt>
                <c:pt idx="27">
                  <c:v>4259</c:v>
                </c:pt>
                <c:pt idx="28">
                  <c:v>4379</c:v>
                </c:pt>
                <c:pt idx="29">
                  <c:v>4447</c:v>
                </c:pt>
                <c:pt idx="30">
                  <c:v>4485.5</c:v>
                </c:pt>
                <c:pt idx="31">
                  <c:v>4764</c:v>
                </c:pt>
                <c:pt idx="32">
                  <c:v>4969</c:v>
                </c:pt>
                <c:pt idx="33">
                  <c:v>5088</c:v>
                </c:pt>
                <c:pt idx="34">
                  <c:v>5303</c:v>
                </c:pt>
                <c:pt idx="35">
                  <c:v>5459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-0.39304429999901913</c:v>
                </c:pt>
                <c:pt idx="30">
                  <c:v>0.29197545000351965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30-4E65-A4DD-F73B1B13F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701640"/>
        <c:axId val="1"/>
      </c:scatterChart>
      <c:valAx>
        <c:axId val="521701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949999561091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701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6840298808802"/>
          <c:y val="0.92000129214617399"/>
          <c:w val="0.804348528340311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CMa - O-C Diagr.</a:t>
            </a:r>
          </a:p>
        </c:rich>
      </c:tx>
      <c:layout>
        <c:manualLayout>
          <c:xMode val="edge"/>
          <c:yMode val="edge"/>
          <c:x val="0.33677729333420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20668744218047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-182</c:v>
                </c:pt>
                <c:pt idx="2">
                  <c:v>20</c:v>
                </c:pt>
                <c:pt idx="3">
                  <c:v>167</c:v>
                </c:pt>
                <c:pt idx="4">
                  <c:v>180</c:v>
                </c:pt>
                <c:pt idx="5">
                  <c:v>207</c:v>
                </c:pt>
                <c:pt idx="6">
                  <c:v>714</c:v>
                </c:pt>
                <c:pt idx="7">
                  <c:v>1195</c:v>
                </c:pt>
                <c:pt idx="8">
                  <c:v>1251</c:v>
                </c:pt>
                <c:pt idx="9">
                  <c:v>1264</c:v>
                </c:pt>
                <c:pt idx="10">
                  <c:v>1437</c:v>
                </c:pt>
                <c:pt idx="11">
                  <c:v>2106</c:v>
                </c:pt>
                <c:pt idx="12">
                  <c:v>2294</c:v>
                </c:pt>
                <c:pt idx="13">
                  <c:v>2426</c:v>
                </c:pt>
                <c:pt idx="14">
                  <c:v>2479</c:v>
                </c:pt>
                <c:pt idx="15">
                  <c:v>2682</c:v>
                </c:pt>
                <c:pt idx="16">
                  <c:v>4085</c:v>
                </c:pt>
                <c:pt idx="17">
                  <c:v>4259</c:v>
                </c:pt>
                <c:pt idx="18">
                  <c:v>5088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0-4068-8B63-2CA44C7528E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-182</c:v>
                </c:pt>
                <c:pt idx="2">
                  <c:v>20</c:v>
                </c:pt>
                <c:pt idx="3">
                  <c:v>167</c:v>
                </c:pt>
                <c:pt idx="4">
                  <c:v>180</c:v>
                </c:pt>
                <c:pt idx="5">
                  <c:v>207</c:v>
                </c:pt>
                <c:pt idx="6">
                  <c:v>714</c:v>
                </c:pt>
                <c:pt idx="7">
                  <c:v>1195</c:v>
                </c:pt>
                <c:pt idx="8">
                  <c:v>1251</c:v>
                </c:pt>
                <c:pt idx="9">
                  <c:v>1264</c:v>
                </c:pt>
                <c:pt idx="10">
                  <c:v>1437</c:v>
                </c:pt>
                <c:pt idx="11">
                  <c:v>2106</c:v>
                </c:pt>
                <c:pt idx="12">
                  <c:v>2294</c:v>
                </c:pt>
                <c:pt idx="13">
                  <c:v>2426</c:v>
                </c:pt>
                <c:pt idx="14">
                  <c:v>2479</c:v>
                </c:pt>
                <c:pt idx="15">
                  <c:v>2682</c:v>
                </c:pt>
                <c:pt idx="16">
                  <c:v>4085</c:v>
                </c:pt>
                <c:pt idx="17">
                  <c:v>4259</c:v>
                </c:pt>
                <c:pt idx="18">
                  <c:v>5088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-4.327905218815431E-3</c:v>
                </c:pt>
                <c:pt idx="2">
                  <c:v>-4.9913129623746499E-4</c:v>
                </c:pt>
                <c:pt idx="3">
                  <c:v>3.2772536869742908E-3</c:v>
                </c:pt>
                <c:pt idx="4">
                  <c:v>2.1078183490317315E-3</c:v>
                </c:pt>
                <c:pt idx="5">
                  <c:v>-2.3210088984342292E-3</c:v>
                </c:pt>
                <c:pt idx="6">
                  <c:v>7.1012778789736331E-5</c:v>
                </c:pt>
                <c:pt idx="7">
                  <c:v>-9.1980948636773974E-3</c:v>
                </c:pt>
                <c:pt idx="8">
                  <c:v>-2.123566249065334E-2</c:v>
                </c:pt>
                <c:pt idx="9">
                  <c:v>-1.540509783080779E-2</c:v>
                </c:pt>
                <c:pt idx="10">
                  <c:v>-1.4967583527322859E-2</c:v>
                </c:pt>
                <c:pt idx="11">
                  <c:v>-4.1485253386781551E-3</c:v>
                </c:pt>
                <c:pt idx="12">
                  <c:v>-4.0603595116408542E-3</c:v>
                </c:pt>
                <c:pt idx="13">
                  <c:v>-1.193462605442619E-2</c:v>
                </c:pt>
                <c:pt idx="14">
                  <c:v>-7.7023239864502102E-3</c:v>
                </c:pt>
                <c:pt idx="15">
                  <c:v>-1.0963506625557784E-2</c:v>
                </c:pt>
                <c:pt idx="16">
                  <c:v>8.2743304665200412E-4</c:v>
                </c:pt>
                <c:pt idx="17">
                  <c:v>9.1749907805933617E-3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F0-4068-8B63-2CA44C7528E9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-182</c:v>
                </c:pt>
                <c:pt idx="2">
                  <c:v>20</c:v>
                </c:pt>
                <c:pt idx="3">
                  <c:v>167</c:v>
                </c:pt>
                <c:pt idx="4">
                  <c:v>180</c:v>
                </c:pt>
                <c:pt idx="5">
                  <c:v>207</c:v>
                </c:pt>
                <c:pt idx="6">
                  <c:v>714</c:v>
                </c:pt>
                <c:pt idx="7">
                  <c:v>1195</c:v>
                </c:pt>
                <c:pt idx="8">
                  <c:v>1251</c:v>
                </c:pt>
                <c:pt idx="9">
                  <c:v>1264</c:v>
                </c:pt>
                <c:pt idx="10">
                  <c:v>1437</c:v>
                </c:pt>
                <c:pt idx="11">
                  <c:v>2106</c:v>
                </c:pt>
                <c:pt idx="12">
                  <c:v>2294</c:v>
                </c:pt>
                <c:pt idx="13">
                  <c:v>2426</c:v>
                </c:pt>
                <c:pt idx="14">
                  <c:v>2479</c:v>
                </c:pt>
                <c:pt idx="15">
                  <c:v>2682</c:v>
                </c:pt>
                <c:pt idx="16">
                  <c:v>4085</c:v>
                </c:pt>
                <c:pt idx="17">
                  <c:v>4259</c:v>
                </c:pt>
                <c:pt idx="18">
                  <c:v>5088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8">
                  <c:v>-6.3990013877628371E-3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F0-4068-8B63-2CA44C7528E9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-182</c:v>
                </c:pt>
                <c:pt idx="2">
                  <c:v>20</c:v>
                </c:pt>
                <c:pt idx="3">
                  <c:v>167</c:v>
                </c:pt>
                <c:pt idx="4">
                  <c:v>180</c:v>
                </c:pt>
                <c:pt idx="5">
                  <c:v>207</c:v>
                </c:pt>
                <c:pt idx="6">
                  <c:v>714</c:v>
                </c:pt>
                <c:pt idx="7">
                  <c:v>1195</c:v>
                </c:pt>
                <c:pt idx="8">
                  <c:v>1251</c:v>
                </c:pt>
                <c:pt idx="9">
                  <c:v>1264</c:v>
                </c:pt>
                <c:pt idx="10">
                  <c:v>1437</c:v>
                </c:pt>
                <c:pt idx="11">
                  <c:v>2106</c:v>
                </c:pt>
                <c:pt idx="12">
                  <c:v>2294</c:v>
                </c:pt>
                <c:pt idx="13">
                  <c:v>2426</c:v>
                </c:pt>
                <c:pt idx="14">
                  <c:v>2479</c:v>
                </c:pt>
                <c:pt idx="15">
                  <c:v>2682</c:v>
                </c:pt>
                <c:pt idx="16">
                  <c:v>4085</c:v>
                </c:pt>
                <c:pt idx="17">
                  <c:v>4259</c:v>
                </c:pt>
                <c:pt idx="18">
                  <c:v>5088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F0-4068-8B63-2CA44C7528E9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-182</c:v>
                </c:pt>
                <c:pt idx="2">
                  <c:v>20</c:v>
                </c:pt>
                <c:pt idx="3">
                  <c:v>167</c:v>
                </c:pt>
                <c:pt idx="4">
                  <c:v>180</c:v>
                </c:pt>
                <c:pt idx="5">
                  <c:v>207</c:v>
                </c:pt>
                <c:pt idx="6">
                  <c:v>714</c:v>
                </c:pt>
                <c:pt idx="7">
                  <c:v>1195</c:v>
                </c:pt>
                <c:pt idx="8">
                  <c:v>1251</c:v>
                </c:pt>
                <c:pt idx="9">
                  <c:v>1264</c:v>
                </c:pt>
                <c:pt idx="10">
                  <c:v>1437</c:v>
                </c:pt>
                <c:pt idx="11">
                  <c:v>2106</c:v>
                </c:pt>
                <c:pt idx="12">
                  <c:v>2294</c:v>
                </c:pt>
                <c:pt idx="13">
                  <c:v>2426</c:v>
                </c:pt>
                <c:pt idx="14">
                  <c:v>2479</c:v>
                </c:pt>
                <c:pt idx="15">
                  <c:v>2682</c:v>
                </c:pt>
                <c:pt idx="16">
                  <c:v>4085</c:v>
                </c:pt>
                <c:pt idx="17">
                  <c:v>4259</c:v>
                </c:pt>
                <c:pt idx="18">
                  <c:v>5088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F0-4068-8B63-2CA44C7528E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-182</c:v>
                </c:pt>
                <c:pt idx="2">
                  <c:v>20</c:v>
                </c:pt>
                <c:pt idx="3">
                  <c:v>167</c:v>
                </c:pt>
                <c:pt idx="4">
                  <c:v>180</c:v>
                </c:pt>
                <c:pt idx="5">
                  <c:v>207</c:v>
                </c:pt>
                <c:pt idx="6">
                  <c:v>714</c:v>
                </c:pt>
                <c:pt idx="7">
                  <c:v>1195</c:v>
                </c:pt>
                <c:pt idx="8">
                  <c:v>1251</c:v>
                </c:pt>
                <c:pt idx="9">
                  <c:v>1264</c:v>
                </c:pt>
                <c:pt idx="10">
                  <c:v>1437</c:v>
                </c:pt>
                <c:pt idx="11">
                  <c:v>2106</c:v>
                </c:pt>
                <c:pt idx="12">
                  <c:v>2294</c:v>
                </c:pt>
                <c:pt idx="13">
                  <c:v>2426</c:v>
                </c:pt>
                <c:pt idx="14">
                  <c:v>2479</c:v>
                </c:pt>
                <c:pt idx="15">
                  <c:v>2682</c:v>
                </c:pt>
                <c:pt idx="16">
                  <c:v>4085</c:v>
                </c:pt>
                <c:pt idx="17">
                  <c:v>4259</c:v>
                </c:pt>
                <c:pt idx="18">
                  <c:v>5088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F0-4068-8B63-2CA44C7528E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-182</c:v>
                </c:pt>
                <c:pt idx="2">
                  <c:v>20</c:v>
                </c:pt>
                <c:pt idx="3">
                  <c:v>167</c:v>
                </c:pt>
                <c:pt idx="4">
                  <c:v>180</c:v>
                </c:pt>
                <c:pt idx="5">
                  <c:v>207</c:v>
                </c:pt>
                <c:pt idx="6">
                  <c:v>714</c:v>
                </c:pt>
                <c:pt idx="7">
                  <c:v>1195</c:v>
                </c:pt>
                <c:pt idx="8">
                  <c:v>1251</c:v>
                </c:pt>
                <c:pt idx="9">
                  <c:v>1264</c:v>
                </c:pt>
                <c:pt idx="10">
                  <c:v>1437</c:v>
                </c:pt>
                <c:pt idx="11">
                  <c:v>2106</c:v>
                </c:pt>
                <c:pt idx="12">
                  <c:v>2294</c:v>
                </c:pt>
                <c:pt idx="13">
                  <c:v>2426</c:v>
                </c:pt>
                <c:pt idx="14">
                  <c:v>2479</c:v>
                </c:pt>
                <c:pt idx="15">
                  <c:v>2682</c:v>
                </c:pt>
                <c:pt idx="16">
                  <c:v>4085</c:v>
                </c:pt>
                <c:pt idx="17">
                  <c:v>4259</c:v>
                </c:pt>
                <c:pt idx="18">
                  <c:v>5088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F0-4068-8B63-2CA44C7528E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-182</c:v>
                </c:pt>
                <c:pt idx="2">
                  <c:v>20</c:v>
                </c:pt>
                <c:pt idx="3">
                  <c:v>167</c:v>
                </c:pt>
                <c:pt idx="4">
                  <c:v>180</c:v>
                </c:pt>
                <c:pt idx="5">
                  <c:v>207</c:v>
                </c:pt>
                <c:pt idx="6">
                  <c:v>714</c:v>
                </c:pt>
                <c:pt idx="7">
                  <c:v>1195</c:v>
                </c:pt>
                <c:pt idx="8">
                  <c:v>1251</c:v>
                </c:pt>
                <c:pt idx="9">
                  <c:v>1264</c:v>
                </c:pt>
                <c:pt idx="10">
                  <c:v>1437</c:v>
                </c:pt>
                <c:pt idx="11">
                  <c:v>2106</c:v>
                </c:pt>
                <c:pt idx="12">
                  <c:v>2294</c:v>
                </c:pt>
                <c:pt idx="13">
                  <c:v>2426</c:v>
                </c:pt>
                <c:pt idx="14">
                  <c:v>2479</c:v>
                </c:pt>
                <c:pt idx="15">
                  <c:v>2682</c:v>
                </c:pt>
                <c:pt idx="16">
                  <c:v>4085</c:v>
                </c:pt>
                <c:pt idx="17">
                  <c:v>4259</c:v>
                </c:pt>
                <c:pt idx="18">
                  <c:v>5088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-5.1423325473900815E-3</c:v>
                </c:pt>
                <c:pt idx="1">
                  <c:v>-5.14233254745897E-3</c:v>
                </c:pt>
                <c:pt idx="2">
                  <c:v>-5.1423325473825112E-3</c:v>
                </c:pt>
                <c:pt idx="3">
                  <c:v>-5.1423325473268708E-3</c:v>
                </c:pt>
                <c:pt idx="4">
                  <c:v>-5.1423325473219502E-3</c:v>
                </c:pt>
                <c:pt idx="5">
                  <c:v>-5.1423325473117301E-3</c:v>
                </c:pt>
                <c:pt idx="6">
                  <c:v>-5.1423325471198263E-3</c:v>
                </c:pt>
                <c:pt idx="7">
                  <c:v>-5.1423325469377636E-3</c:v>
                </c:pt>
                <c:pt idx="8">
                  <c:v>-5.142332546916567E-3</c:v>
                </c:pt>
                <c:pt idx="9">
                  <c:v>-5.1423325469116465E-3</c:v>
                </c:pt>
                <c:pt idx="10">
                  <c:v>-5.1423325468461642E-3</c:v>
                </c:pt>
                <c:pt idx="11">
                  <c:v>-5.1423325465929414E-3</c:v>
                </c:pt>
                <c:pt idx="12">
                  <c:v>-5.1423325465217821E-3</c:v>
                </c:pt>
                <c:pt idx="13">
                  <c:v>-5.1423325464718186E-3</c:v>
                </c:pt>
                <c:pt idx="14">
                  <c:v>-5.1423325464517574E-3</c:v>
                </c:pt>
                <c:pt idx="15">
                  <c:v>-5.1423325463749205E-3</c:v>
                </c:pt>
                <c:pt idx="16">
                  <c:v>-5.1423325458438722E-3</c:v>
                </c:pt>
                <c:pt idx="17">
                  <c:v>-5.1423325457780117E-3</c:v>
                </c:pt>
                <c:pt idx="18">
                  <c:v>-5.1423325454642279E-3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F0-4068-8B63-2CA44C752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296608"/>
        <c:axId val="1"/>
      </c:scatterChart>
      <c:valAx>
        <c:axId val="558296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582850697381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29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276225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16AEBA-5781-1D2D-A74C-D7700BFDC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76200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1ADE0BD-30AA-6F19-5465-FCDA76AAC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39.pdf" TargetMode="External"/><Relationship Id="rId2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konkoly.hu/cgi-bin/IBVS?46" TargetMode="External"/><Relationship Id="rId5" Type="http://schemas.openxmlformats.org/officeDocument/2006/relationships/hyperlink" Target="http://vsolj.cetus-net.org/no44.pdf" TargetMode="External"/><Relationship Id="rId4" Type="http://schemas.openxmlformats.org/officeDocument/2006/relationships/hyperlink" Target="http://var.astro.cz/oejv/issues/oejv000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7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3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57</v>
      </c>
    </row>
    <row r="2" spans="1:6">
      <c r="A2" t="s">
        <v>26</v>
      </c>
      <c r="B2" t="s">
        <v>54</v>
      </c>
    </row>
    <row r="4" spans="1:6" ht="14.25" thickTop="1" thickBot="1">
      <c r="A4" s="8" t="s">
        <v>0</v>
      </c>
      <c r="C4" s="3">
        <v>42413.058700000001</v>
      </c>
      <c r="D4" s="4">
        <v>2.0691120999999999</v>
      </c>
    </row>
    <row r="5" spans="1:6" ht="13.5" thickTop="1">
      <c r="A5" s="20" t="s">
        <v>59</v>
      </c>
      <c r="B5" s="12"/>
      <c r="C5" s="21">
        <v>-9.5</v>
      </c>
      <c r="D5" s="12" t="s">
        <v>60</v>
      </c>
    </row>
    <row r="6" spans="1:6">
      <c r="A6" s="8" t="s">
        <v>1</v>
      </c>
    </row>
    <row r="7" spans="1:6">
      <c r="A7" t="s">
        <v>2</v>
      </c>
      <c r="C7">
        <f>+C4</f>
        <v>42413.058700000001</v>
      </c>
    </row>
    <row r="8" spans="1:6">
      <c r="A8" t="s">
        <v>3</v>
      </c>
      <c r="C8">
        <f>+D4</f>
        <v>2.0691120999999999</v>
      </c>
    </row>
    <row r="9" spans="1:6">
      <c r="A9" s="34" t="s">
        <v>66</v>
      </c>
      <c r="B9" s="35">
        <v>21</v>
      </c>
      <c r="C9" s="23" t="str">
        <f>"F"&amp;B9</f>
        <v>F21</v>
      </c>
      <c r="D9" s="24" t="str">
        <f>"G"&amp;B9</f>
        <v>G21</v>
      </c>
    </row>
    <row r="10" spans="1:6" ht="13.5" thickBot="1">
      <c r="A10" s="12"/>
      <c r="B10" s="12"/>
      <c r="C10" s="7" t="s">
        <v>21</v>
      </c>
      <c r="D10" s="7" t="s">
        <v>22</v>
      </c>
      <c r="E10" s="12"/>
    </row>
    <row r="11" spans="1:6">
      <c r="A11" s="12" t="s">
        <v>16</v>
      </c>
      <c r="B11" s="12"/>
      <c r="C11" s="22">
        <f ca="1">INTERCEPT(INDIRECT($D$9):G992,INDIRECT($C$9):F992)</f>
        <v>1.067871550486363E-2</v>
      </c>
      <c r="D11" s="6"/>
      <c r="E11" s="12"/>
    </row>
    <row r="12" spans="1:6">
      <c r="A12" s="12" t="s">
        <v>17</v>
      </c>
      <c r="B12" s="12"/>
      <c r="C12" s="22">
        <f ca="1">SLOPE(INDIRECT($D$9):G992,INDIRECT($C$9):F992)</f>
        <v>-2.8560653382366519E-5</v>
      </c>
      <c r="D12" s="6"/>
      <c r="E12" s="12"/>
    </row>
    <row r="13" spans="1:6">
      <c r="A13" s="12" t="s">
        <v>20</v>
      </c>
      <c r="B13" s="12"/>
      <c r="C13" s="6" t="s">
        <v>14</v>
      </c>
    </row>
    <row r="14" spans="1:6">
      <c r="A14" s="12"/>
      <c r="B14" s="12"/>
      <c r="C14" s="12"/>
    </row>
    <row r="15" spans="1:6">
      <c r="A15" s="27" t="s">
        <v>18</v>
      </c>
      <c r="B15" s="12"/>
      <c r="C15" s="28">
        <f ca="1">(C7+C11)+(C8+C12)*INT(MAX(F21:F3533))</f>
        <v>53708.196420008688</v>
      </c>
      <c r="E15" s="25" t="s">
        <v>61</v>
      </c>
      <c r="F15" s="21">
        <v>1</v>
      </c>
    </row>
    <row r="16" spans="1:6">
      <c r="A16" s="29" t="s">
        <v>4</v>
      </c>
      <c r="B16" s="12"/>
      <c r="C16" s="30">
        <f ca="1">+C8+C12</f>
        <v>2.0690835393466176</v>
      </c>
      <c r="E16" s="25" t="s">
        <v>62</v>
      </c>
      <c r="F16" s="26">
        <f ca="1">NOW()+15018.5+$C$5/24</f>
        <v>60335.740451967591</v>
      </c>
    </row>
    <row r="17" spans="1:31" ht="13.5" thickBot="1">
      <c r="A17" s="25" t="s">
        <v>56</v>
      </c>
      <c r="B17" s="12"/>
      <c r="C17" s="12">
        <f>COUNT(C21:C2191)</f>
        <v>36</v>
      </c>
      <c r="E17" s="25" t="s">
        <v>63</v>
      </c>
      <c r="F17" s="26">
        <f ca="1">ROUND(2*(F16-$C$7)/$C$8,0)/2+F15</f>
        <v>8663</v>
      </c>
    </row>
    <row r="18" spans="1:31" ht="14.25" thickTop="1" thickBot="1">
      <c r="A18" s="29" t="s">
        <v>5</v>
      </c>
      <c r="B18" s="12"/>
      <c r="C18" s="32">
        <f ca="1">+C15</f>
        <v>53708.196420008688</v>
      </c>
      <c r="D18" s="33">
        <f ca="1">+C16</f>
        <v>2.0690835393466176</v>
      </c>
      <c r="E18" s="25" t="s">
        <v>64</v>
      </c>
      <c r="F18" s="24">
        <f ca="1">ROUND(2*(F16-$C$15)/$C$16,0)/2+F15</f>
        <v>3204</v>
      </c>
    </row>
    <row r="19" spans="1:31" ht="13.5" thickTop="1">
      <c r="E19" s="25" t="s">
        <v>65</v>
      </c>
      <c r="F19" s="31">
        <f ca="1">+$C$15+$C$16*F18-15018.5-$C$5/24</f>
        <v>45319.43591340859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58" t="s">
        <v>11</v>
      </c>
      <c r="H20" s="10" t="s">
        <v>75</v>
      </c>
      <c r="I20" s="10" t="s">
        <v>78</v>
      </c>
      <c r="J20" s="10" t="s">
        <v>72</v>
      </c>
      <c r="K20" s="10" t="s">
        <v>70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U20" s="57" t="s">
        <v>212</v>
      </c>
    </row>
    <row r="21" spans="1:31">
      <c r="A21" s="55" t="s">
        <v>84</v>
      </c>
      <c r="B21" s="56" t="s">
        <v>51</v>
      </c>
      <c r="C21" s="55">
        <v>26034.221000000001</v>
      </c>
      <c r="D21" s="55" t="s">
        <v>78</v>
      </c>
      <c r="E21">
        <f t="shared" ref="E21:E56" si="0">+(C21-C$7)/C$8</f>
        <v>-7915.8773949463639</v>
      </c>
      <c r="F21">
        <f t="shared" ref="F21:F56" si="1">ROUND(2*E21,0)/2</f>
        <v>-7916</v>
      </c>
      <c r="G21" s="39">
        <f>+C21-(C$7+F21*C$8)</f>
        <v>0.25368359999993118</v>
      </c>
      <c r="I21">
        <f>+G21</f>
        <v>0.25368359999993118</v>
      </c>
      <c r="O21">
        <f t="shared" ref="O21:O56" ca="1" si="2">+C$11+C$12*F21</f>
        <v>0.23676484767967698</v>
      </c>
      <c r="Q21" s="2">
        <f t="shared" ref="Q21:Q56" si="3">+C21-15018.5</f>
        <v>11015.721000000001</v>
      </c>
    </row>
    <row r="22" spans="1:31">
      <c r="A22" s="55" t="s">
        <v>84</v>
      </c>
      <c r="B22" s="56" t="s">
        <v>51</v>
      </c>
      <c r="C22" s="55">
        <v>26065.25</v>
      </c>
      <c r="D22" s="55" t="s">
        <v>78</v>
      </c>
      <c r="E22">
        <f t="shared" si="0"/>
        <v>-7900.8811074083433</v>
      </c>
      <c r="F22">
        <f t="shared" si="1"/>
        <v>-7901</v>
      </c>
      <c r="G22" s="39">
        <f>+C22-(C$7+F22*C$8)</f>
        <v>0.24600209999698563</v>
      </c>
      <c r="I22">
        <f>+G22</f>
        <v>0.24600209999698563</v>
      </c>
      <c r="O22">
        <f t="shared" ca="1" si="2"/>
        <v>0.23633643787894149</v>
      </c>
      <c r="Q22" s="2">
        <f t="shared" si="3"/>
        <v>11046.75</v>
      </c>
    </row>
    <row r="23" spans="1:31">
      <c r="A23" s="55" t="s">
        <v>84</v>
      </c>
      <c r="B23" s="56" t="s">
        <v>51</v>
      </c>
      <c r="C23" s="55">
        <v>26067.325000000001</v>
      </c>
      <c r="D23" s="55" t="s">
        <v>78</v>
      </c>
      <c r="E23">
        <f t="shared" si="0"/>
        <v>-7899.8782617916168</v>
      </c>
      <c r="F23">
        <f t="shared" si="1"/>
        <v>-7900</v>
      </c>
      <c r="G23" s="39">
        <f>+C23-(C$7+F23*C$8)</f>
        <v>0.25188999999591033</v>
      </c>
      <c r="I23">
        <f>+G23</f>
        <v>0.25188999999591033</v>
      </c>
      <c r="O23">
        <f t="shared" ca="1" si="2"/>
        <v>0.23630787722555913</v>
      </c>
      <c r="Q23" s="2">
        <f t="shared" si="3"/>
        <v>11048.825000000001</v>
      </c>
    </row>
    <row r="24" spans="1:31">
      <c r="A24" s="55" t="s">
        <v>84</v>
      </c>
      <c r="B24" s="56" t="s">
        <v>51</v>
      </c>
      <c r="C24" s="55">
        <v>26309.415000000001</v>
      </c>
      <c r="D24" s="55" t="s">
        <v>78</v>
      </c>
      <c r="E24">
        <f t="shared" si="0"/>
        <v>-7782.8763845129515</v>
      </c>
      <c r="F24">
        <f t="shared" si="1"/>
        <v>-7783</v>
      </c>
      <c r="G24" s="39">
        <f>+C24-(C$7+F24*C$8)</f>
        <v>0.2557742999997572</v>
      </c>
      <c r="I24">
        <f>+G24</f>
        <v>0.2557742999997572</v>
      </c>
      <c r="O24">
        <f t="shared" ca="1" si="2"/>
        <v>0.23296628077982226</v>
      </c>
      <c r="Q24" s="2">
        <f t="shared" si="3"/>
        <v>11290.915000000001</v>
      </c>
    </row>
    <row r="25" spans="1:31">
      <c r="A25" s="55" t="s">
        <v>97</v>
      </c>
      <c r="B25" s="56" t="s">
        <v>51</v>
      </c>
      <c r="C25" s="55">
        <v>26781.153999999999</v>
      </c>
      <c r="D25" s="55" t="s">
        <v>78</v>
      </c>
      <c r="E25">
        <f t="shared" si="0"/>
        <v>-7554.8853539641486</v>
      </c>
      <c r="F25">
        <f t="shared" si="1"/>
        <v>-7555</v>
      </c>
      <c r="G25" s="39">
        <f>+C25-(C$7+F25*C$8)</f>
        <v>0.23721549999390845</v>
      </c>
      <c r="I25">
        <f>+G25</f>
        <v>0.23721549999390845</v>
      </c>
      <c r="O25">
        <f t="shared" ca="1" si="2"/>
        <v>0.22645445180864268</v>
      </c>
      <c r="Q25" s="2">
        <f t="shared" si="3"/>
        <v>11762.653999999999</v>
      </c>
    </row>
    <row r="26" spans="1:31">
      <c r="A26" s="55" t="s">
        <v>97</v>
      </c>
      <c r="B26" s="56" t="s">
        <v>51</v>
      </c>
      <c r="C26" s="55">
        <v>26859.15</v>
      </c>
      <c r="D26" s="55" t="s">
        <v>78</v>
      </c>
      <c r="E26">
        <f t="shared" si="0"/>
        <v>-7517.1899579534629</v>
      </c>
      <c r="F26">
        <f t="shared" si="1"/>
        <v>-7517</v>
      </c>
      <c r="O26">
        <f t="shared" ca="1" si="2"/>
        <v>0.22536914698011276</v>
      </c>
      <c r="Q26" s="2">
        <f t="shared" si="3"/>
        <v>11840.650000000001</v>
      </c>
      <c r="U26" s="39">
        <f>+C26-(C$7+F26*C$8)</f>
        <v>-0.39304429999901913</v>
      </c>
    </row>
    <row r="27" spans="1:31" ht="12.75" customHeight="1">
      <c r="A27" s="15" t="s">
        <v>55</v>
      </c>
      <c r="B27" s="16"/>
      <c r="C27" s="38">
        <v>38440.400000000001</v>
      </c>
      <c r="D27" s="39"/>
      <c r="E27">
        <f t="shared" si="0"/>
        <v>-1919.9823441175565</v>
      </c>
      <c r="F27">
        <f t="shared" si="1"/>
        <v>-1920</v>
      </c>
      <c r="G27" s="39">
        <f t="shared" ref="G27:G50" si="4">+C27-(C$7+F27*C$8)</f>
        <v>3.6531999998260289E-2</v>
      </c>
      <c r="I27">
        <f>+G27</f>
        <v>3.6531999998260289E-2</v>
      </c>
      <c r="O27">
        <f t="shared" ca="1" si="2"/>
        <v>6.5515169999007347E-2</v>
      </c>
      <c r="Q27" s="2">
        <f t="shared" si="3"/>
        <v>23421.9</v>
      </c>
    </row>
    <row r="28" spans="1:31">
      <c r="A28" s="55" t="s">
        <v>110</v>
      </c>
      <c r="B28" s="56" t="s">
        <v>51</v>
      </c>
      <c r="C28" s="55">
        <v>41707.487000000001</v>
      </c>
      <c r="D28" s="55" t="s">
        <v>78</v>
      </c>
      <c r="E28">
        <f t="shared" si="0"/>
        <v>-341.00216223180968</v>
      </c>
      <c r="F28">
        <f t="shared" si="1"/>
        <v>-341</v>
      </c>
      <c r="G28" s="39">
        <f t="shared" si="4"/>
        <v>-4.4739000004483387E-3</v>
      </c>
      <c r="I28">
        <f>+G28</f>
        <v>-4.4739000004483387E-3</v>
      </c>
      <c r="O28">
        <f t="shared" ca="1" si="2"/>
        <v>2.0417898308250613E-2</v>
      </c>
      <c r="Q28" s="2">
        <f t="shared" si="3"/>
        <v>26688.987000000001</v>
      </c>
    </row>
    <row r="29" spans="1:31" ht="12.75" customHeight="1">
      <c r="A29" t="s">
        <v>33</v>
      </c>
      <c r="C29" s="40">
        <v>42036.480000000003</v>
      </c>
      <c r="D29" s="39"/>
      <c r="E29">
        <f t="shared" si="0"/>
        <v>-182.00014392646887</v>
      </c>
      <c r="F29">
        <f t="shared" si="1"/>
        <v>-182</v>
      </c>
      <c r="G29" s="39">
        <f t="shared" si="4"/>
        <v>-2.9779999749734998E-4</v>
      </c>
      <c r="I29">
        <f>+G29</f>
        <v>-2.9779999749734998E-4</v>
      </c>
      <c r="O29">
        <f t="shared" ca="1" si="2"/>
        <v>1.5876754420454338E-2</v>
      </c>
      <c r="Q29" s="2">
        <f t="shared" si="3"/>
        <v>27017.980000000003</v>
      </c>
      <c r="AA29" t="s">
        <v>32</v>
      </c>
      <c r="AE29" t="s">
        <v>34</v>
      </c>
    </row>
    <row r="30" spans="1:31" ht="12.75" customHeight="1">
      <c r="A30" t="s">
        <v>12</v>
      </c>
      <c r="C30" s="39">
        <v>42413.058700000001</v>
      </c>
      <c r="D30" s="39" t="s">
        <v>14</v>
      </c>
      <c r="E30">
        <f t="shared" si="0"/>
        <v>0</v>
      </c>
      <c r="F30">
        <f t="shared" si="1"/>
        <v>0</v>
      </c>
      <c r="G30" s="39">
        <f t="shared" si="4"/>
        <v>0</v>
      </c>
      <c r="H30">
        <f>+G30</f>
        <v>0</v>
      </c>
      <c r="O30">
        <f t="shared" ca="1" si="2"/>
        <v>1.067871550486363E-2</v>
      </c>
      <c r="Q30" s="2">
        <f t="shared" si="3"/>
        <v>27394.558700000001</v>
      </c>
    </row>
    <row r="31" spans="1:31" ht="12.75" customHeight="1">
      <c r="A31" t="s">
        <v>35</v>
      </c>
      <c r="C31" s="40">
        <v>42454.44</v>
      </c>
      <c r="D31" s="39"/>
      <c r="E31">
        <f t="shared" si="0"/>
        <v>19.999544732255405</v>
      </c>
      <c r="F31">
        <f t="shared" si="1"/>
        <v>20</v>
      </c>
      <c r="G31" s="39">
        <f t="shared" si="4"/>
        <v>-9.4199999875854701E-4</v>
      </c>
      <c r="I31">
        <f t="shared" ref="I31:I50" si="5">+G31</f>
        <v>-9.4199999875854701E-4</v>
      </c>
      <c r="O31">
        <f t="shared" ca="1" si="2"/>
        <v>1.01075024372163E-2</v>
      </c>
      <c r="Q31" s="2">
        <f t="shared" si="3"/>
        <v>27435.940000000002</v>
      </c>
      <c r="AA31" t="s">
        <v>32</v>
      </c>
      <c r="AE31" t="s">
        <v>34</v>
      </c>
    </row>
    <row r="32" spans="1:31" ht="12.75" customHeight="1">
      <c r="A32" t="s">
        <v>36</v>
      </c>
      <c r="C32" s="40">
        <v>42758.6</v>
      </c>
      <c r="D32" s="39"/>
      <c r="E32">
        <f t="shared" si="0"/>
        <v>166.99979667607045</v>
      </c>
      <c r="F32">
        <f t="shared" si="1"/>
        <v>167</v>
      </c>
      <c r="G32" s="39">
        <f t="shared" si="4"/>
        <v>-4.2070000199601054E-4</v>
      </c>
      <c r="I32">
        <f t="shared" si="5"/>
        <v>-4.2070000199601054E-4</v>
      </c>
      <c r="O32">
        <f t="shared" ca="1" si="2"/>
        <v>5.9090863900084214E-3</v>
      </c>
      <c r="Q32" s="2">
        <f t="shared" si="3"/>
        <v>27740.1</v>
      </c>
      <c r="AA32" t="s">
        <v>32</v>
      </c>
      <c r="AE32" t="s">
        <v>34</v>
      </c>
    </row>
    <row r="33" spans="1:31" ht="12.75" customHeight="1">
      <c r="A33" t="s">
        <v>37</v>
      </c>
      <c r="C33" s="40">
        <v>42785.497000000003</v>
      </c>
      <c r="D33" s="39"/>
      <c r="E33">
        <f t="shared" si="0"/>
        <v>179.99909236430526</v>
      </c>
      <c r="F33">
        <f t="shared" si="1"/>
        <v>180</v>
      </c>
      <c r="G33" s="39">
        <f t="shared" si="4"/>
        <v>-1.8779999954858795E-3</v>
      </c>
      <c r="I33">
        <f t="shared" si="5"/>
        <v>-1.8779999954858795E-3</v>
      </c>
      <c r="O33">
        <f t="shared" ca="1" si="2"/>
        <v>5.537797896037657E-3</v>
      </c>
      <c r="Q33" s="2">
        <f t="shared" si="3"/>
        <v>27766.997000000003</v>
      </c>
      <c r="AA33" t="s">
        <v>32</v>
      </c>
      <c r="AE33" t="s">
        <v>34</v>
      </c>
    </row>
    <row r="34" spans="1:31" ht="12.75" customHeight="1">
      <c r="A34" t="s">
        <v>38</v>
      </c>
      <c r="C34" s="40">
        <v>42841.358</v>
      </c>
      <c r="D34" s="39"/>
      <c r="E34">
        <f t="shared" si="0"/>
        <v>206.99666296475613</v>
      </c>
      <c r="F34">
        <f t="shared" si="1"/>
        <v>207</v>
      </c>
      <c r="G34" s="39">
        <f t="shared" si="4"/>
        <v>-6.9046999997226521E-3</v>
      </c>
      <c r="I34">
        <f t="shared" si="5"/>
        <v>-6.9046999997226521E-3</v>
      </c>
      <c r="O34">
        <f t="shared" ca="1" si="2"/>
        <v>4.7666602547137603E-3</v>
      </c>
      <c r="Q34" s="2">
        <f t="shared" si="3"/>
        <v>27822.858</v>
      </c>
      <c r="AA34" t="s">
        <v>32</v>
      </c>
      <c r="AE34" t="s">
        <v>34</v>
      </c>
    </row>
    <row r="35" spans="1:31" ht="12.75" customHeight="1">
      <c r="A35" t="s">
        <v>39</v>
      </c>
      <c r="C35" s="40">
        <v>43890.389000000003</v>
      </c>
      <c r="D35" s="39"/>
      <c r="E35">
        <f t="shared" si="0"/>
        <v>713.99239316226578</v>
      </c>
      <c r="F35">
        <f t="shared" si="1"/>
        <v>714</v>
      </c>
      <c r="G35" s="39">
        <f t="shared" si="4"/>
        <v>-1.5739399997983128E-2</v>
      </c>
      <c r="I35">
        <f t="shared" si="5"/>
        <v>-1.5739399997983128E-2</v>
      </c>
      <c r="O35">
        <f t="shared" ca="1" si="2"/>
        <v>-9.7135910101460634E-3</v>
      </c>
      <c r="Q35" s="2">
        <f t="shared" si="3"/>
        <v>28871.889000000003</v>
      </c>
      <c r="AA35" t="s">
        <v>32</v>
      </c>
      <c r="AE35" t="s">
        <v>34</v>
      </c>
    </row>
    <row r="36" spans="1:31" ht="12.75" customHeight="1">
      <c r="A36" t="s">
        <v>40</v>
      </c>
      <c r="C36" s="40">
        <v>44885.612000000001</v>
      </c>
      <c r="D36" s="39"/>
      <c r="E36">
        <f t="shared" si="0"/>
        <v>1194.9827657960145</v>
      </c>
      <c r="F36">
        <f t="shared" si="1"/>
        <v>1195</v>
      </c>
      <c r="G36" s="39">
        <f t="shared" si="4"/>
        <v>-3.5659499997564126E-2</v>
      </c>
      <c r="I36">
        <f t="shared" si="5"/>
        <v>-3.5659499997564126E-2</v>
      </c>
      <c r="O36">
        <f t="shared" ca="1" si="2"/>
        <v>-2.3451265287064364E-2</v>
      </c>
      <c r="Q36" s="2">
        <f t="shared" si="3"/>
        <v>29867.112000000001</v>
      </c>
      <c r="AA36" t="s">
        <v>32</v>
      </c>
      <c r="AE36" t="s">
        <v>34</v>
      </c>
    </row>
    <row r="37" spans="1:31" ht="12.75" customHeight="1">
      <c r="A37" t="s">
        <v>41</v>
      </c>
      <c r="C37" s="40">
        <v>45001.468999999997</v>
      </c>
      <c r="D37" s="39"/>
      <c r="E37">
        <f t="shared" si="0"/>
        <v>1250.9763487439834</v>
      </c>
      <c r="F37">
        <f t="shared" si="1"/>
        <v>1251</v>
      </c>
      <c r="G37" s="39">
        <f t="shared" si="4"/>
        <v>-4.8937100000330247E-2</v>
      </c>
      <c r="I37">
        <f t="shared" si="5"/>
        <v>-4.8937100000330247E-2</v>
      </c>
      <c r="O37">
        <f t="shared" ca="1" si="2"/>
        <v>-2.5050661876476886E-2</v>
      </c>
      <c r="Q37" s="2">
        <f t="shared" si="3"/>
        <v>29982.968999999997</v>
      </c>
      <c r="AA37" t="s">
        <v>32</v>
      </c>
      <c r="AE37" t="s">
        <v>34</v>
      </c>
    </row>
    <row r="38" spans="1:31" ht="12.75" customHeight="1">
      <c r="A38" t="s">
        <v>42</v>
      </c>
      <c r="C38" s="40">
        <v>45028.373</v>
      </c>
      <c r="D38" s="39"/>
      <c r="E38">
        <f t="shared" si="0"/>
        <v>1263.979027525864</v>
      </c>
      <c r="F38">
        <f t="shared" si="1"/>
        <v>1264</v>
      </c>
      <c r="G38" s="39">
        <f t="shared" si="4"/>
        <v>-4.3394400003307965E-2</v>
      </c>
      <c r="I38">
        <f t="shared" si="5"/>
        <v>-4.3394400003307965E-2</v>
      </c>
      <c r="O38">
        <f t="shared" ca="1" si="2"/>
        <v>-2.542195037044765E-2</v>
      </c>
      <c r="Q38" s="2">
        <f t="shared" si="3"/>
        <v>30009.873</v>
      </c>
      <c r="AA38" t="s">
        <v>32</v>
      </c>
      <c r="AE38" t="s">
        <v>34</v>
      </c>
    </row>
    <row r="39" spans="1:31">
      <c r="A39" s="55" t="s">
        <v>150</v>
      </c>
      <c r="B39" s="56" t="s">
        <v>51</v>
      </c>
      <c r="C39" s="55">
        <v>45386.322999999997</v>
      </c>
      <c r="D39" s="55" t="s">
        <v>78</v>
      </c>
      <c r="E39">
        <f t="shared" si="0"/>
        <v>1436.9759376497752</v>
      </c>
      <c r="F39">
        <f t="shared" si="1"/>
        <v>1437</v>
      </c>
      <c r="G39" s="39">
        <f t="shared" si="4"/>
        <v>-4.9787700001616031E-2</v>
      </c>
      <c r="I39">
        <f t="shared" si="5"/>
        <v>-4.9787700001616031E-2</v>
      </c>
      <c r="O39">
        <f t="shared" ca="1" si="2"/>
        <v>-3.0362943405597059E-2</v>
      </c>
      <c r="Q39" s="2">
        <f t="shared" si="3"/>
        <v>30367.822999999997</v>
      </c>
    </row>
    <row r="40" spans="1:31" ht="12.75" customHeight="1">
      <c r="A40" t="s">
        <v>43</v>
      </c>
      <c r="C40" s="40">
        <v>45386.326000000001</v>
      </c>
      <c r="D40" s="39"/>
      <c r="E40">
        <f t="shared" si="0"/>
        <v>1436.9773875470544</v>
      </c>
      <c r="F40">
        <f t="shared" si="1"/>
        <v>1437</v>
      </c>
      <c r="G40" s="39">
        <f t="shared" si="4"/>
        <v>-4.6787699997366872E-2</v>
      </c>
      <c r="I40">
        <f t="shared" si="5"/>
        <v>-4.6787699997366872E-2</v>
      </c>
      <c r="O40">
        <f t="shared" ca="1" si="2"/>
        <v>-3.0362943405597059E-2</v>
      </c>
      <c r="Q40" s="2">
        <f t="shared" si="3"/>
        <v>30367.826000000001</v>
      </c>
      <c r="AA40" t="s">
        <v>32</v>
      </c>
      <c r="AE40" t="s">
        <v>34</v>
      </c>
    </row>
    <row r="41" spans="1:31" ht="12.75" customHeight="1">
      <c r="A41" t="s">
        <v>44</v>
      </c>
      <c r="C41" s="40">
        <v>46770.557999999997</v>
      </c>
      <c r="D41" s="39"/>
      <c r="E41">
        <f t="shared" si="0"/>
        <v>2105.9754568155086</v>
      </c>
      <c r="F41">
        <f t="shared" si="1"/>
        <v>2106</v>
      </c>
      <c r="G41" s="39">
        <f t="shared" si="4"/>
        <v>-5.0782600003003608E-2</v>
      </c>
      <c r="I41">
        <f t="shared" si="5"/>
        <v>-5.0782600003003608E-2</v>
      </c>
      <c r="O41">
        <f t="shared" ca="1" si="2"/>
        <v>-4.9470020518400264E-2</v>
      </c>
      <c r="Q41" s="2">
        <f t="shared" si="3"/>
        <v>31752.057999999997</v>
      </c>
      <c r="AA41" t="s">
        <v>32</v>
      </c>
      <c r="AE41" t="s">
        <v>34</v>
      </c>
    </row>
    <row r="42" spans="1:31" ht="12.75" customHeight="1">
      <c r="A42" t="s">
        <v>45</v>
      </c>
      <c r="C42" s="40">
        <v>47159.546999999999</v>
      </c>
      <c r="D42" s="39"/>
      <c r="E42">
        <f t="shared" si="0"/>
        <v>2293.9734874683672</v>
      </c>
      <c r="F42">
        <f t="shared" si="1"/>
        <v>2294</v>
      </c>
      <c r="G42" s="39">
        <f t="shared" si="4"/>
        <v>-5.4857400005857926E-2</v>
      </c>
      <c r="I42">
        <f t="shared" si="5"/>
        <v>-5.4857400005857926E-2</v>
      </c>
      <c r="O42">
        <f t="shared" ca="1" si="2"/>
        <v>-5.4839423354285169E-2</v>
      </c>
      <c r="Q42" s="2">
        <f t="shared" si="3"/>
        <v>32141.046999999999</v>
      </c>
      <c r="AA42" t="s">
        <v>32</v>
      </c>
      <c r="AE42" t="s">
        <v>34</v>
      </c>
    </row>
    <row r="43" spans="1:31" ht="12.75" customHeight="1">
      <c r="A43" t="s">
        <v>46</v>
      </c>
      <c r="C43" s="40">
        <v>47432.659</v>
      </c>
      <c r="D43" s="39"/>
      <c r="E43">
        <f t="shared" si="0"/>
        <v>2425.9682691914077</v>
      </c>
      <c r="F43">
        <f t="shared" si="1"/>
        <v>2426</v>
      </c>
      <c r="G43" s="39">
        <f t="shared" si="4"/>
        <v>-6.5654600002744701E-2</v>
      </c>
      <c r="I43">
        <f t="shared" si="5"/>
        <v>-6.5654600002744701E-2</v>
      </c>
      <c r="O43">
        <f t="shared" ca="1" si="2"/>
        <v>-5.8609429600757545E-2</v>
      </c>
      <c r="Q43" s="2">
        <f t="shared" si="3"/>
        <v>32414.159</v>
      </c>
      <c r="AA43" t="s">
        <v>32</v>
      </c>
      <c r="AE43" t="s">
        <v>34</v>
      </c>
    </row>
    <row r="44" spans="1:31" ht="12.75" customHeight="1">
      <c r="A44" t="s">
        <v>47</v>
      </c>
      <c r="C44" s="40">
        <v>47542.324999999997</v>
      </c>
      <c r="D44" s="39"/>
      <c r="E44">
        <f t="shared" si="0"/>
        <v>2478.9697474583404</v>
      </c>
      <c r="F44">
        <f t="shared" si="1"/>
        <v>2479</v>
      </c>
      <c r="G44" s="39">
        <f t="shared" si="4"/>
        <v>-6.2595900002634153E-2</v>
      </c>
      <c r="I44">
        <f t="shared" si="5"/>
        <v>-6.2595900002634153E-2</v>
      </c>
      <c r="O44">
        <f t="shared" ca="1" si="2"/>
        <v>-6.0123144230022976E-2</v>
      </c>
      <c r="Q44" s="2">
        <f t="shared" si="3"/>
        <v>32523.824999999997</v>
      </c>
      <c r="AA44" t="s">
        <v>32</v>
      </c>
      <c r="AE44" t="s">
        <v>34</v>
      </c>
    </row>
    <row r="45" spans="1:31" ht="12.75" customHeight="1">
      <c r="A45" t="s">
        <v>48</v>
      </c>
      <c r="C45" s="40">
        <v>47962.347000000002</v>
      </c>
      <c r="D45" s="39"/>
      <c r="E45">
        <f t="shared" si="0"/>
        <v>2681.9659988455919</v>
      </c>
      <c r="F45">
        <f t="shared" si="1"/>
        <v>2682</v>
      </c>
      <c r="G45" s="39">
        <f t="shared" si="4"/>
        <v>-7.0352199996705167E-2</v>
      </c>
      <c r="I45">
        <f t="shared" si="5"/>
        <v>-7.0352199996705167E-2</v>
      </c>
      <c r="O45">
        <f t="shared" ca="1" si="2"/>
        <v>-6.5920956866643371E-2</v>
      </c>
      <c r="Q45" s="2">
        <f t="shared" si="3"/>
        <v>32943.847000000002</v>
      </c>
      <c r="AA45" t="s">
        <v>32</v>
      </c>
      <c r="AE45" t="s">
        <v>34</v>
      </c>
    </row>
    <row r="46" spans="1:31" ht="12.75" customHeight="1">
      <c r="A46" t="s">
        <v>49</v>
      </c>
      <c r="C46" s="40">
        <v>50865.292000000001</v>
      </c>
      <c r="D46" s="39"/>
      <c r="E46">
        <f t="shared" si="0"/>
        <v>4084.9566826272971</v>
      </c>
      <c r="F46">
        <f t="shared" si="1"/>
        <v>4085</v>
      </c>
      <c r="G46" s="39">
        <f t="shared" si="4"/>
        <v>-8.9628499998070765E-2</v>
      </c>
      <c r="I46">
        <f t="shared" si="5"/>
        <v>-8.9628499998070765E-2</v>
      </c>
      <c r="O46">
        <f t="shared" ca="1" si="2"/>
        <v>-0.1059915535621036</v>
      </c>
      <c r="Q46" s="2">
        <f t="shared" si="3"/>
        <v>35846.792000000001</v>
      </c>
      <c r="AA46" t="s">
        <v>32</v>
      </c>
      <c r="AE46" t="s">
        <v>34</v>
      </c>
    </row>
    <row r="47" spans="1:31">
      <c r="A47" s="55" t="s">
        <v>178</v>
      </c>
      <c r="B47" s="56" t="s">
        <v>51</v>
      </c>
      <c r="C47" s="55">
        <v>51190.14</v>
      </c>
      <c r="D47" s="55" t="s">
        <v>78</v>
      </c>
      <c r="E47">
        <f t="shared" si="0"/>
        <v>4241.955426194646</v>
      </c>
      <c r="F47">
        <f t="shared" si="1"/>
        <v>4242</v>
      </c>
      <c r="G47" s="39">
        <f t="shared" si="4"/>
        <v>-9.2228200002864469E-2</v>
      </c>
      <c r="I47">
        <f t="shared" si="5"/>
        <v>-9.2228200002864469E-2</v>
      </c>
      <c r="O47">
        <f t="shared" ca="1" si="2"/>
        <v>-0.11047557614313515</v>
      </c>
      <c r="Q47" s="2">
        <f t="shared" si="3"/>
        <v>36171.64</v>
      </c>
    </row>
    <row r="48" spans="1:31" ht="12.75" customHeight="1">
      <c r="A48" t="s">
        <v>53</v>
      </c>
      <c r="C48" s="40">
        <v>51225.322</v>
      </c>
      <c r="D48" s="39">
        <v>5.0000000000000001E-3</v>
      </c>
      <c r="E48">
        <f t="shared" si="0"/>
        <v>4258.9588548633974</v>
      </c>
      <c r="F48">
        <f t="shared" si="1"/>
        <v>4259</v>
      </c>
      <c r="G48" s="39">
        <f t="shared" si="4"/>
        <v>-8.5133900000073481E-2</v>
      </c>
      <c r="I48">
        <f t="shared" si="5"/>
        <v>-8.5133900000073481E-2</v>
      </c>
      <c r="O48">
        <f t="shared" ca="1" si="2"/>
        <v>-0.11096110725063538</v>
      </c>
      <c r="Q48" s="2">
        <f t="shared" si="3"/>
        <v>36206.822</v>
      </c>
      <c r="AA48" t="s">
        <v>32</v>
      </c>
      <c r="AB48">
        <v>7</v>
      </c>
      <c r="AE48" t="s">
        <v>34</v>
      </c>
    </row>
    <row r="49" spans="1:21">
      <c r="A49" s="55" t="s">
        <v>186</v>
      </c>
      <c r="B49" s="56" t="s">
        <v>51</v>
      </c>
      <c r="C49" s="55">
        <v>51473.616000000002</v>
      </c>
      <c r="D49" s="55" t="s">
        <v>78</v>
      </c>
      <c r="E49">
        <f t="shared" si="0"/>
        <v>4378.9591197113004</v>
      </c>
      <c r="F49">
        <f t="shared" si="1"/>
        <v>4379</v>
      </c>
      <c r="G49" s="39">
        <f t="shared" si="4"/>
        <v>-8.4585899996454827E-2</v>
      </c>
      <c r="I49">
        <f t="shared" si="5"/>
        <v>-8.4585899996454827E-2</v>
      </c>
      <c r="O49">
        <f t="shared" ca="1" si="2"/>
        <v>-0.11438838565651935</v>
      </c>
      <c r="Q49" s="2">
        <f t="shared" si="3"/>
        <v>36455.116000000002</v>
      </c>
    </row>
    <row r="50" spans="1:21">
      <c r="A50" s="55" t="s">
        <v>189</v>
      </c>
      <c r="B50" s="56" t="s">
        <v>51</v>
      </c>
      <c r="C50" s="55">
        <v>51614.302000000003</v>
      </c>
      <c r="D50" s="55" t="s">
        <v>78</v>
      </c>
      <c r="E50">
        <f t="shared" si="0"/>
        <v>4446.9525358244255</v>
      </c>
      <c r="F50">
        <f t="shared" si="1"/>
        <v>4447</v>
      </c>
      <c r="G50" s="39">
        <f t="shared" si="4"/>
        <v>-9.8208699993847404E-2</v>
      </c>
      <c r="I50">
        <f t="shared" si="5"/>
        <v>-9.8208699993847404E-2</v>
      </c>
      <c r="O50">
        <f t="shared" ca="1" si="2"/>
        <v>-0.11633051008652029</v>
      </c>
      <c r="Q50" s="2">
        <f t="shared" si="3"/>
        <v>36595.802000000003</v>
      </c>
    </row>
    <row r="51" spans="1:21">
      <c r="A51" s="55" t="s">
        <v>193</v>
      </c>
      <c r="B51" s="56" t="s">
        <v>211</v>
      </c>
      <c r="C51" s="55">
        <v>51694.353000000003</v>
      </c>
      <c r="D51" s="55" t="s">
        <v>78</v>
      </c>
      <c r="E51">
        <f t="shared" si="0"/>
        <v>4485.6411114699886</v>
      </c>
      <c r="F51">
        <f t="shared" si="1"/>
        <v>4485.5</v>
      </c>
      <c r="O51">
        <f t="shared" ca="1" si="2"/>
        <v>-0.11743009524174139</v>
      </c>
      <c r="Q51" s="2">
        <f t="shared" si="3"/>
        <v>36675.853000000003</v>
      </c>
      <c r="U51" s="39">
        <f>+C51-(C$7+F51*C$8)</f>
        <v>0.29197545000351965</v>
      </c>
    </row>
    <row r="52" spans="1:21">
      <c r="A52" s="55" t="s">
        <v>199</v>
      </c>
      <c r="B52" s="56" t="s">
        <v>51</v>
      </c>
      <c r="C52" s="55">
        <v>52270.191800000001</v>
      </c>
      <c r="D52" s="55" t="s">
        <v>78</v>
      </c>
      <c r="E52">
        <f t="shared" si="0"/>
        <v>4763.9434808776186</v>
      </c>
      <c r="F52">
        <f t="shared" si="1"/>
        <v>4764</v>
      </c>
      <c r="G52" s="39">
        <f>+C52-(C$7+F52*C$8)</f>
        <v>-0.1169443999970099</v>
      </c>
      <c r="I52">
        <f>+G52</f>
        <v>-0.1169443999970099</v>
      </c>
      <c r="O52">
        <f t="shared" ca="1" si="2"/>
        <v>-0.12538423720873046</v>
      </c>
      <c r="Q52" s="2">
        <f t="shared" si="3"/>
        <v>37251.691800000001</v>
      </c>
    </row>
    <row r="53" spans="1:21" ht="12.75" customHeight="1">
      <c r="A53" s="17" t="s">
        <v>58</v>
      </c>
      <c r="B53" s="18" t="s">
        <v>51</v>
      </c>
      <c r="C53" s="19">
        <v>52694.353000000003</v>
      </c>
      <c r="D53" s="19">
        <v>5.0000000000000001E-3</v>
      </c>
      <c r="E53">
        <f t="shared" si="0"/>
        <v>4968.9402038681237</v>
      </c>
      <c r="F53">
        <f t="shared" si="1"/>
        <v>4969</v>
      </c>
      <c r="G53" s="39">
        <f>+C53-(C$7+F53*C$8)</f>
        <v>-0.12372489999688696</v>
      </c>
      <c r="K53">
        <f>+G53</f>
        <v>-0.12372489999688696</v>
      </c>
      <c r="O53">
        <f t="shared" ca="1" si="2"/>
        <v>-0.13123917115211561</v>
      </c>
      <c r="Q53" s="2">
        <f t="shared" si="3"/>
        <v>37675.853000000003</v>
      </c>
    </row>
    <row r="54" spans="1:21" ht="12.75" customHeight="1">
      <c r="A54" s="12" t="s">
        <v>50</v>
      </c>
      <c r="B54" s="6" t="s">
        <v>51</v>
      </c>
      <c r="C54" s="39">
        <v>52940.582000000002</v>
      </c>
      <c r="D54" s="41">
        <v>3.0000000000000001E-3</v>
      </c>
      <c r="E54">
        <f t="shared" si="0"/>
        <v>5087.9424560902244</v>
      </c>
      <c r="F54">
        <f t="shared" si="1"/>
        <v>5088</v>
      </c>
      <c r="G54" s="39">
        <f>+C54-(C$7+F54*C$8)</f>
        <v>-0.11906479999743169</v>
      </c>
      <c r="K54">
        <f>+G54</f>
        <v>-0.11906479999743169</v>
      </c>
      <c r="O54">
        <f t="shared" ca="1" si="2"/>
        <v>-0.13463788890461723</v>
      </c>
      <c r="Q54" s="2">
        <f t="shared" si="3"/>
        <v>37922.082000000002</v>
      </c>
    </row>
    <row r="55" spans="1:21">
      <c r="A55" s="36" t="s">
        <v>67</v>
      </c>
      <c r="B55" s="37" t="s">
        <v>51</v>
      </c>
      <c r="C55" s="36">
        <v>53385.425000000003</v>
      </c>
      <c r="D55" s="36">
        <v>2E-3</v>
      </c>
      <c r="E55">
        <f t="shared" si="0"/>
        <v>5302.9346742498883</v>
      </c>
      <c r="F55">
        <f t="shared" si="1"/>
        <v>5303</v>
      </c>
      <c r="G55" s="39">
        <f>+C55-(C$7+F55*C$8)</f>
        <v>-0.13516629999503493</v>
      </c>
      <c r="K55">
        <f>+G55</f>
        <v>-0.13516629999503493</v>
      </c>
      <c r="O55">
        <f t="shared" ca="1" si="2"/>
        <v>-0.14077842938182603</v>
      </c>
      <c r="Q55" s="2">
        <f t="shared" si="3"/>
        <v>38366.925000000003</v>
      </c>
    </row>
    <row r="56" spans="1:21">
      <c r="A56" s="55" t="s">
        <v>210</v>
      </c>
      <c r="B56" s="56" t="s">
        <v>51</v>
      </c>
      <c r="C56" s="55">
        <v>53708.203600000001</v>
      </c>
      <c r="D56" s="55" t="s">
        <v>78</v>
      </c>
      <c r="E56">
        <f t="shared" si="0"/>
        <v>5458.9332786754276</v>
      </c>
      <c r="F56">
        <f t="shared" si="1"/>
        <v>5459</v>
      </c>
      <c r="G56" s="39">
        <f>+C56-(C$7+F56*C$8)</f>
        <v>-0.13805390000197804</v>
      </c>
      <c r="I56">
        <f>+G56</f>
        <v>-0.13805390000197804</v>
      </c>
      <c r="O56">
        <f t="shared" ca="1" si="2"/>
        <v>-0.1452338913094752</v>
      </c>
      <c r="Q56" s="2">
        <f t="shared" si="3"/>
        <v>38689.703600000001</v>
      </c>
    </row>
    <row r="57" spans="1:21">
      <c r="B57" s="6"/>
    </row>
    <row r="58" spans="1:21">
      <c r="B58" s="6"/>
    </row>
    <row r="59" spans="1:21">
      <c r="B59" s="6"/>
    </row>
    <row r="60" spans="1:21">
      <c r="B60" s="6"/>
    </row>
    <row r="61" spans="1:21">
      <c r="B61" s="6"/>
    </row>
    <row r="62" spans="1:21">
      <c r="B62" s="6"/>
    </row>
    <row r="63" spans="1:21">
      <c r="B63" s="6"/>
    </row>
    <row r="64" spans="1:21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8"/>
  <sheetViews>
    <sheetView workbookViewId="0">
      <selection activeCell="A30" sqref="A30:D43"/>
    </sheetView>
  </sheetViews>
  <sheetFormatPr defaultRowHeight="12.75"/>
  <cols>
    <col min="1" max="1" width="19.7109375" style="39" customWidth="1"/>
    <col min="2" max="2" width="4.42578125" style="12" customWidth="1"/>
    <col min="3" max="3" width="12.7109375" style="3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2" t="s">
        <v>68</v>
      </c>
      <c r="I1" s="43" t="s">
        <v>69</v>
      </c>
      <c r="J1" s="44" t="s">
        <v>70</v>
      </c>
    </row>
    <row r="2" spans="1:16">
      <c r="I2" s="45" t="s">
        <v>71</v>
      </c>
      <c r="J2" s="46" t="s">
        <v>72</v>
      </c>
    </row>
    <row r="3" spans="1:16">
      <c r="A3" s="47" t="s">
        <v>73</v>
      </c>
      <c r="I3" s="45" t="s">
        <v>74</v>
      </c>
      <c r="J3" s="46" t="s">
        <v>75</v>
      </c>
    </row>
    <row r="4" spans="1:16">
      <c r="I4" s="45" t="s">
        <v>76</v>
      </c>
      <c r="J4" s="46" t="s">
        <v>75</v>
      </c>
    </row>
    <row r="5" spans="1:16" ht="13.5" thickBot="1">
      <c r="I5" s="48" t="s">
        <v>77</v>
      </c>
      <c r="J5" s="49" t="s">
        <v>78</v>
      </c>
    </row>
    <row r="10" spans="1:16" ht="13.5" thickBot="1"/>
    <row r="11" spans="1:16" ht="12.75" customHeight="1" thickBot="1">
      <c r="A11" s="39" t="str">
        <f t="shared" ref="A11:A43" si="0">P11</f>
        <v>IBVS 46 </v>
      </c>
      <c r="B11" s="6" t="str">
        <f t="shared" ref="B11:B43" si="1">IF(H11=INT(H11),"I","II")</f>
        <v>I</v>
      </c>
      <c r="C11" s="39">
        <f t="shared" ref="C11:C43" si="2">1*G11</f>
        <v>38440.400000000001</v>
      </c>
      <c r="D11" s="12" t="str">
        <f t="shared" ref="D11:D43" si="3">VLOOKUP(F11,I$1:J$5,2,FALSE)</f>
        <v>vis</v>
      </c>
      <c r="E11" s="50">
        <f>VLOOKUP(C11,Active!C$21:E$973,3,FALSE)</f>
        <v>-1919.9823441175565</v>
      </c>
      <c r="F11" s="6" t="s">
        <v>77</v>
      </c>
      <c r="G11" s="12" t="str">
        <f t="shared" ref="G11:G43" si="4">MID(I11,3,LEN(I11)-3)</f>
        <v>38440.400</v>
      </c>
      <c r="H11" s="39">
        <f t="shared" ref="H11:H43" si="5">1*K11</f>
        <v>-6921</v>
      </c>
      <c r="I11" s="51" t="s">
        <v>101</v>
      </c>
      <c r="J11" s="52" t="s">
        <v>102</v>
      </c>
      <c r="K11" s="51">
        <v>-6921</v>
      </c>
      <c r="L11" s="51" t="s">
        <v>103</v>
      </c>
      <c r="M11" s="52" t="s">
        <v>82</v>
      </c>
      <c r="N11" s="52"/>
      <c r="O11" s="53" t="s">
        <v>104</v>
      </c>
      <c r="P11" s="54" t="s">
        <v>105</v>
      </c>
    </row>
    <row r="12" spans="1:16" ht="12.75" customHeight="1" thickBot="1">
      <c r="A12" s="39" t="str">
        <f t="shared" si="0"/>
        <v> BBS 13 </v>
      </c>
      <c r="B12" s="6" t="str">
        <f t="shared" si="1"/>
        <v>I</v>
      </c>
      <c r="C12" s="39">
        <f t="shared" si="2"/>
        <v>42036.480000000003</v>
      </c>
      <c r="D12" s="12" t="str">
        <f t="shared" si="3"/>
        <v>vis</v>
      </c>
      <c r="E12" s="50">
        <f>VLOOKUP(C12,Active!C$21:E$973,3,FALSE)</f>
        <v>-182.00014392646887</v>
      </c>
      <c r="F12" s="6" t="s">
        <v>77</v>
      </c>
      <c r="G12" s="12" t="str">
        <f t="shared" si="4"/>
        <v>42036.480</v>
      </c>
      <c r="H12" s="39">
        <f t="shared" si="5"/>
        <v>-5183</v>
      </c>
      <c r="I12" s="51" t="s">
        <v>111</v>
      </c>
      <c r="J12" s="52" t="s">
        <v>112</v>
      </c>
      <c r="K12" s="51">
        <v>-5183</v>
      </c>
      <c r="L12" s="51" t="s">
        <v>113</v>
      </c>
      <c r="M12" s="52" t="s">
        <v>82</v>
      </c>
      <c r="N12" s="52"/>
      <c r="O12" s="53" t="s">
        <v>109</v>
      </c>
      <c r="P12" s="53" t="s">
        <v>114</v>
      </c>
    </row>
    <row r="13" spans="1:16" ht="12.75" customHeight="1" thickBot="1">
      <c r="A13" s="39" t="str">
        <f t="shared" si="0"/>
        <v> BBS 21 </v>
      </c>
      <c r="B13" s="6" t="str">
        <f t="shared" si="1"/>
        <v>I</v>
      </c>
      <c r="C13" s="39">
        <f t="shared" si="2"/>
        <v>42454.44</v>
      </c>
      <c r="D13" s="12" t="str">
        <f t="shared" si="3"/>
        <v>vis</v>
      </c>
      <c r="E13" s="50">
        <f>VLOOKUP(C13,Active!C$21:E$973,3,FALSE)</f>
        <v>19.999544732255405</v>
      </c>
      <c r="F13" s="6" t="s">
        <v>77</v>
      </c>
      <c r="G13" s="12" t="str">
        <f t="shared" si="4"/>
        <v>42454.440</v>
      </c>
      <c r="H13" s="39">
        <f t="shared" si="5"/>
        <v>-4981</v>
      </c>
      <c r="I13" s="51" t="s">
        <v>115</v>
      </c>
      <c r="J13" s="52" t="s">
        <v>116</v>
      </c>
      <c r="K13" s="51">
        <v>-4981</v>
      </c>
      <c r="L13" s="51" t="s">
        <v>117</v>
      </c>
      <c r="M13" s="52" t="s">
        <v>82</v>
      </c>
      <c r="N13" s="52"/>
      <c r="O13" s="53" t="s">
        <v>109</v>
      </c>
      <c r="P13" s="53" t="s">
        <v>118</v>
      </c>
    </row>
    <row r="14" spans="1:16" ht="12.75" customHeight="1" thickBot="1">
      <c r="A14" s="39" t="str">
        <f t="shared" si="0"/>
        <v> BBS 25 </v>
      </c>
      <c r="B14" s="6" t="str">
        <f t="shared" si="1"/>
        <v>I</v>
      </c>
      <c r="C14" s="39">
        <f t="shared" si="2"/>
        <v>42758.6</v>
      </c>
      <c r="D14" s="12" t="str">
        <f t="shared" si="3"/>
        <v>vis</v>
      </c>
      <c r="E14" s="50">
        <f>VLOOKUP(C14,Active!C$21:E$973,3,FALSE)</f>
        <v>166.99979667607045</v>
      </c>
      <c r="F14" s="6" t="s">
        <v>77</v>
      </c>
      <c r="G14" s="12" t="str">
        <f t="shared" si="4"/>
        <v>42758.600</v>
      </c>
      <c r="H14" s="39">
        <f t="shared" si="5"/>
        <v>-4834</v>
      </c>
      <c r="I14" s="51" t="s">
        <v>119</v>
      </c>
      <c r="J14" s="52" t="s">
        <v>120</v>
      </c>
      <c r="K14" s="51">
        <v>-4834</v>
      </c>
      <c r="L14" s="51" t="s">
        <v>121</v>
      </c>
      <c r="M14" s="52" t="s">
        <v>82</v>
      </c>
      <c r="N14" s="52"/>
      <c r="O14" s="53" t="s">
        <v>109</v>
      </c>
      <c r="P14" s="53" t="s">
        <v>122</v>
      </c>
    </row>
    <row r="15" spans="1:16" ht="12.75" customHeight="1" thickBot="1">
      <c r="A15" s="39" t="str">
        <f t="shared" si="0"/>
        <v> BBS 26 </v>
      </c>
      <c r="B15" s="6" t="str">
        <f t="shared" si="1"/>
        <v>I</v>
      </c>
      <c r="C15" s="39">
        <f t="shared" si="2"/>
        <v>42785.497000000003</v>
      </c>
      <c r="D15" s="12" t="str">
        <f t="shared" si="3"/>
        <v>vis</v>
      </c>
      <c r="E15" s="50">
        <f>VLOOKUP(C15,Active!C$21:E$973,3,FALSE)</f>
        <v>179.99909236430526</v>
      </c>
      <c r="F15" s="6" t="s">
        <v>77</v>
      </c>
      <c r="G15" s="12" t="str">
        <f t="shared" si="4"/>
        <v>42785.497</v>
      </c>
      <c r="H15" s="39">
        <f t="shared" si="5"/>
        <v>-4821</v>
      </c>
      <c r="I15" s="51" t="s">
        <v>123</v>
      </c>
      <c r="J15" s="52" t="s">
        <v>124</v>
      </c>
      <c r="K15" s="51">
        <v>-4821</v>
      </c>
      <c r="L15" s="51" t="s">
        <v>125</v>
      </c>
      <c r="M15" s="52" t="s">
        <v>82</v>
      </c>
      <c r="N15" s="52"/>
      <c r="O15" s="53" t="s">
        <v>109</v>
      </c>
      <c r="P15" s="53" t="s">
        <v>126</v>
      </c>
    </row>
    <row r="16" spans="1:16" ht="12.75" customHeight="1" thickBot="1">
      <c r="A16" s="39" t="str">
        <f t="shared" si="0"/>
        <v> BBS 27 </v>
      </c>
      <c r="B16" s="6" t="str">
        <f t="shared" si="1"/>
        <v>I</v>
      </c>
      <c r="C16" s="39">
        <f t="shared" si="2"/>
        <v>42841.358</v>
      </c>
      <c r="D16" s="12" t="str">
        <f t="shared" si="3"/>
        <v>vis</v>
      </c>
      <c r="E16" s="50">
        <f>VLOOKUP(C16,Active!C$21:E$973,3,FALSE)</f>
        <v>206.99666296475613</v>
      </c>
      <c r="F16" s="6" t="s">
        <v>77</v>
      </c>
      <c r="G16" s="12" t="str">
        <f t="shared" si="4"/>
        <v>42841.358</v>
      </c>
      <c r="H16" s="39">
        <f t="shared" si="5"/>
        <v>-4794</v>
      </c>
      <c r="I16" s="51" t="s">
        <v>127</v>
      </c>
      <c r="J16" s="52" t="s">
        <v>128</v>
      </c>
      <c r="K16" s="51">
        <v>-4794</v>
      </c>
      <c r="L16" s="51" t="s">
        <v>129</v>
      </c>
      <c r="M16" s="52" t="s">
        <v>82</v>
      </c>
      <c r="N16" s="52"/>
      <c r="O16" s="53" t="s">
        <v>109</v>
      </c>
      <c r="P16" s="53" t="s">
        <v>130</v>
      </c>
    </row>
    <row r="17" spans="1:16" ht="12.75" customHeight="1" thickBot="1">
      <c r="A17" s="39" t="str">
        <f t="shared" si="0"/>
        <v> BBS 41 </v>
      </c>
      <c r="B17" s="6" t="str">
        <f t="shared" si="1"/>
        <v>I</v>
      </c>
      <c r="C17" s="39">
        <f t="shared" si="2"/>
        <v>43890.389000000003</v>
      </c>
      <c r="D17" s="12" t="str">
        <f t="shared" si="3"/>
        <v>vis</v>
      </c>
      <c r="E17" s="50">
        <f>VLOOKUP(C17,Active!C$21:E$973,3,FALSE)</f>
        <v>713.99239316226578</v>
      </c>
      <c r="F17" s="6" t="s">
        <v>77</v>
      </c>
      <c r="G17" s="12" t="str">
        <f t="shared" si="4"/>
        <v>43890.389</v>
      </c>
      <c r="H17" s="39">
        <f t="shared" si="5"/>
        <v>-4287</v>
      </c>
      <c r="I17" s="51" t="s">
        <v>131</v>
      </c>
      <c r="J17" s="52" t="s">
        <v>132</v>
      </c>
      <c r="K17" s="51">
        <v>-4287</v>
      </c>
      <c r="L17" s="51" t="s">
        <v>133</v>
      </c>
      <c r="M17" s="52" t="s">
        <v>82</v>
      </c>
      <c r="N17" s="52"/>
      <c r="O17" s="53" t="s">
        <v>109</v>
      </c>
      <c r="P17" s="53" t="s">
        <v>134</v>
      </c>
    </row>
    <row r="18" spans="1:16" ht="12.75" customHeight="1" thickBot="1">
      <c r="A18" s="39" t="str">
        <f t="shared" si="0"/>
        <v> BBS 57 </v>
      </c>
      <c r="B18" s="6" t="str">
        <f t="shared" si="1"/>
        <v>I</v>
      </c>
      <c r="C18" s="39">
        <f t="shared" si="2"/>
        <v>44885.612000000001</v>
      </c>
      <c r="D18" s="12" t="str">
        <f t="shared" si="3"/>
        <v>vis</v>
      </c>
      <c r="E18" s="50">
        <f>VLOOKUP(C18,Active!C$21:E$973,3,FALSE)</f>
        <v>1194.9827657960145</v>
      </c>
      <c r="F18" s="6" t="s">
        <v>77</v>
      </c>
      <c r="G18" s="12" t="str">
        <f t="shared" si="4"/>
        <v>44885.612</v>
      </c>
      <c r="H18" s="39">
        <f t="shared" si="5"/>
        <v>-3806</v>
      </c>
      <c r="I18" s="51" t="s">
        <v>135</v>
      </c>
      <c r="J18" s="52" t="s">
        <v>136</v>
      </c>
      <c r="K18" s="51">
        <v>-3806</v>
      </c>
      <c r="L18" s="51" t="s">
        <v>137</v>
      </c>
      <c r="M18" s="52" t="s">
        <v>82</v>
      </c>
      <c r="N18" s="52"/>
      <c r="O18" s="53" t="s">
        <v>109</v>
      </c>
      <c r="P18" s="53" t="s">
        <v>138</v>
      </c>
    </row>
    <row r="19" spans="1:16" ht="12.75" customHeight="1" thickBot="1">
      <c r="A19" s="39" t="str">
        <f t="shared" si="0"/>
        <v> BBS 58 </v>
      </c>
      <c r="B19" s="6" t="str">
        <f t="shared" si="1"/>
        <v>I</v>
      </c>
      <c r="C19" s="39">
        <f t="shared" si="2"/>
        <v>45001.468999999997</v>
      </c>
      <c r="D19" s="12" t="str">
        <f t="shared" si="3"/>
        <v>vis</v>
      </c>
      <c r="E19" s="50">
        <f>VLOOKUP(C19,Active!C$21:E$973,3,FALSE)</f>
        <v>1250.9763487439834</v>
      </c>
      <c r="F19" s="6" t="s">
        <v>77</v>
      </c>
      <c r="G19" s="12" t="str">
        <f t="shared" si="4"/>
        <v>45001.469</v>
      </c>
      <c r="H19" s="39">
        <f t="shared" si="5"/>
        <v>-3750</v>
      </c>
      <c r="I19" s="51" t="s">
        <v>139</v>
      </c>
      <c r="J19" s="52" t="s">
        <v>140</v>
      </c>
      <c r="K19" s="51">
        <v>-3750</v>
      </c>
      <c r="L19" s="51" t="s">
        <v>141</v>
      </c>
      <c r="M19" s="52" t="s">
        <v>82</v>
      </c>
      <c r="N19" s="52"/>
      <c r="O19" s="53" t="s">
        <v>109</v>
      </c>
      <c r="P19" s="53" t="s">
        <v>142</v>
      </c>
    </row>
    <row r="20" spans="1:16" ht="12.75" customHeight="1" thickBot="1">
      <c r="A20" s="39" t="str">
        <f t="shared" si="0"/>
        <v> BBS 59 </v>
      </c>
      <c r="B20" s="6" t="str">
        <f t="shared" si="1"/>
        <v>I</v>
      </c>
      <c r="C20" s="39">
        <f t="shared" si="2"/>
        <v>45028.373</v>
      </c>
      <c r="D20" s="12" t="str">
        <f t="shared" si="3"/>
        <v>vis</v>
      </c>
      <c r="E20" s="50">
        <f>VLOOKUP(C20,Active!C$21:E$973,3,FALSE)</f>
        <v>1263.979027525864</v>
      </c>
      <c r="F20" s="6" t="s">
        <v>77</v>
      </c>
      <c r="G20" s="12" t="str">
        <f t="shared" si="4"/>
        <v>45028.373</v>
      </c>
      <c r="H20" s="39">
        <f t="shared" si="5"/>
        <v>-3737</v>
      </c>
      <c r="I20" s="51" t="s">
        <v>143</v>
      </c>
      <c r="J20" s="52" t="s">
        <v>144</v>
      </c>
      <c r="K20" s="51">
        <v>-3737</v>
      </c>
      <c r="L20" s="51" t="s">
        <v>108</v>
      </c>
      <c r="M20" s="52" t="s">
        <v>82</v>
      </c>
      <c r="N20" s="52"/>
      <c r="O20" s="53" t="s">
        <v>109</v>
      </c>
      <c r="P20" s="53" t="s">
        <v>145</v>
      </c>
    </row>
    <row r="21" spans="1:16" ht="12.75" customHeight="1" thickBot="1">
      <c r="A21" s="39" t="str">
        <f t="shared" si="0"/>
        <v> BBS 82 </v>
      </c>
      <c r="B21" s="6" t="str">
        <f t="shared" si="1"/>
        <v>I</v>
      </c>
      <c r="C21" s="39">
        <f t="shared" si="2"/>
        <v>46770.557999999997</v>
      </c>
      <c r="D21" s="12" t="str">
        <f t="shared" si="3"/>
        <v>vis</v>
      </c>
      <c r="E21" s="50">
        <f>VLOOKUP(C21,Active!C$21:E$973,3,FALSE)</f>
        <v>2105.9754568155086</v>
      </c>
      <c r="F21" s="6" t="s">
        <v>77</v>
      </c>
      <c r="G21" s="12" t="str">
        <f t="shared" si="4"/>
        <v>46770.558</v>
      </c>
      <c r="H21" s="39">
        <f t="shared" si="5"/>
        <v>-2895</v>
      </c>
      <c r="I21" s="51" t="s">
        <v>151</v>
      </c>
      <c r="J21" s="52" t="s">
        <v>152</v>
      </c>
      <c r="K21" s="51">
        <v>-2895</v>
      </c>
      <c r="L21" s="51" t="s">
        <v>153</v>
      </c>
      <c r="M21" s="52" t="s">
        <v>82</v>
      </c>
      <c r="N21" s="52"/>
      <c r="O21" s="53" t="s">
        <v>109</v>
      </c>
      <c r="P21" s="53" t="s">
        <v>154</v>
      </c>
    </row>
    <row r="22" spans="1:16" ht="12.75" customHeight="1" thickBot="1">
      <c r="A22" s="39" t="str">
        <f t="shared" si="0"/>
        <v> BBS 86 </v>
      </c>
      <c r="B22" s="6" t="str">
        <f t="shared" si="1"/>
        <v>I</v>
      </c>
      <c r="C22" s="39">
        <f t="shared" si="2"/>
        <v>47159.546999999999</v>
      </c>
      <c r="D22" s="12" t="str">
        <f t="shared" si="3"/>
        <v>vis</v>
      </c>
      <c r="E22" s="50">
        <f>VLOOKUP(C22,Active!C$21:E$973,3,FALSE)</f>
        <v>2293.9734874683672</v>
      </c>
      <c r="F22" s="6" t="s">
        <v>77</v>
      </c>
      <c r="G22" s="12" t="str">
        <f t="shared" si="4"/>
        <v>47159.547</v>
      </c>
      <c r="H22" s="39">
        <f t="shared" si="5"/>
        <v>-2707</v>
      </c>
      <c r="I22" s="51" t="s">
        <v>155</v>
      </c>
      <c r="J22" s="52" t="s">
        <v>156</v>
      </c>
      <c r="K22" s="51">
        <v>-2707</v>
      </c>
      <c r="L22" s="51" t="s">
        <v>153</v>
      </c>
      <c r="M22" s="52" t="s">
        <v>82</v>
      </c>
      <c r="N22" s="52"/>
      <c r="O22" s="53" t="s">
        <v>109</v>
      </c>
      <c r="P22" s="53" t="s">
        <v>157</v>
      </c>
    </row>
    <row r="23" spans="1:16" ht="12.75" customHeight="1" thickBot="1">
      <c r="A23" s="39" t="str">
        <f t="shared" si="0"/>
        <v> BBS 89 </v>
      </c>
      <c r="B23" s="6" t="str">
        <f t="shared" si="1"/>
        <v>I</v>
      </c>
      <c r="C23" s="39">
        <f t="shared" si="2"/>
        <v>47432.659</v>
      </c>
      <c r="D23" s="12" t="str">
        <f t="shared" si="3"/>
        <v>vis</v>
      </c>
      <c r="E23" s="50">
        <f>VLOOKUP(C23,Active!C$21:E$973,3,FALSE)</f>
        <v>2425.9682691914077</v>
      </c>
      <c r="F23" s="6" t="s">
        <v>77</v>
      </c>
      <c r="G23" s="12" t="str">
        <f t="shared" si="4"/>
        <v>47432.659</v>
      </c>
      <c r="H23" s="39">
        <f t="shared" si="5"/>
        <v>-2575</v>
      </c>
      <c r="I23" s="51" t="s">
        <v>158</v>
      </c>
      <c r="J23" s="52" t="s">
        <v>159</v>
      </c>
      <c r="K23" s="51">
        <v>-2575</v>
      </c>
      <c r="L23" s="51" t="s">
        <v>137</v>
      </c>
      <c r="M23" s="52" t="s">
        <v>82</v>
      </c>
      <c r="N23" s="52"/>
      <c r="O23" s="53" t="s">
        <v>109</v>
      </c>
      <c r="P23" s="53" t="s">
        <v>160</v>
      </c>
    </row>
    <row r="24" spans="1:16" ht="12.75" customHeight="1" thickBot="1">
      <c r="A24" s="39" t="str">
        <f t="shared" si="0"/>
        <v> BBS 91 </v>
      </c>
      <c r="B24" s="6" t="str">
        <f t="shared" si="1"/>
        <v>I</v>
      </c>
      <c r="C24" s="39">
        <f t="shared" si="2"/>
        <v>47542.324999999997</v>
      </c>
      <c r="D24" s="12" t="str">
        <f t="shared" si="3"/>
        <v>vis</v>
      </c>
      <c r="E24" s="50">
        <f>VLOOKUP(C24,Active!C$21:E$973,3,FALSE)</f>
        <v>2478.9697474583404</v>
      </c>
      <c r="F24" s="6" t="s">
        <v>77</v>
      </c>
      <c r="G24" s="12" t="str">
        <f t="shared" si="4"/>
        <v>47542.325</v>
      </c>
      <c r="H24" s="39">
        <f t="shared" si="5"/>
        <v>-2522</v>
      </c>
      <c r="I24" s="51" t="s">
        <v>161</v>
      </c>
      <c r="J24" s="52" t="s">
        <v>162</v>
      </c>
      <c r="K24" s="51">
        <v>-2522</v>
      </c>
      <c r="L24" s="51" t="s">
        <v>163</v>
      </c>
      <c r="M24" s="52" t="s">
        <v>82</v>
      </c>
      <c r="N24" s="52"/>
      <c r="O24" s="53" t="s">
        <v>109</v>
      </c>
      <c r="P24" s="53" t="s">
        <v>164</v>
      </c>
    </row>
    <row r="25" spans="1:16" ht="12.75" customHeight="1" thickBot="1">
      <c r="A25" s="39" t="str">
        <f t="shared" si="0"/>
        <v> BBS 94 </v>
      </c>
      <c r="B25" s="6" t="str">
        <f t="shared" si="1"/>
        <v>I</v>
      </c>
      <c r="C25" s="39">
        <f t="shared" si="2"/>
        <v>47962.347000000002</v>
      </c>
      <c r="D25" s="12" t="str">
        <f t="shared" si="3"/>
        <v>vis</v>
      </c>
      <c r="E25" s="50">
        <f>VLOOKUP(C25,Active!C$21:E$973,3,FALSE)</f>
        <v>2681.9659988455919</v>
      </c>
      <c r="F25" s="6" t="s">
        <v>77</v>
      </c>
      <c r="G25" s="12" t="str">
        <f t="shared" si="4"/>
        <v>47962.347</v>
      </c>
      <c r="H25" s="39">
        <f t="shared" si="5"/>
        <v>-2319</v>
      </c>
      <c r="I25" s="51" t="s">
        <v>165</v>
      </c>
      <c r="J25" s="52" t="s">
        <v>166</v>
      </c>
      <c r="K25" s="51">
        <v>-2319</v>
      </c>
      <c r="L25" s="51" t="s">
        <v>167</v>
      </c>
      <c r="M25" s="52" t="s">
        <v>82</v>
      </c>
      <c r="N25" s="52"/>
      <c r="O25" s="53" t="s">
        <v>109</v>
      </c>
      <c r="P25" s="53" t="s">
        <v>168</v>
      </c>
    </row>
    <row r="26" spans="1:16" ht="12.75" customHeight="1" thickBot="1">
      <c r="A26" s="39" t="str">
        <f t="shared" si="0"/>
        <v> BBS 117 </v>
      </c>
      <c r="B26" s="6" t="str">
        <f t="shared" si="1"/>
        <v>I</v>
      </c>
      <c r="C26" s="39">
        <f t="shared" si="2"/>
        <v>50865.292000000001</v>
      </c>
      <c r="D26" s="12" t="str">
        <f t="shared" si="3"/>
        <v>vis</v>
      </c>
      <c r="E26" s="50">
        <f>VLOOKUP(C26,Active!C$21:E$973,3,FALSE)</f>
        <v>4084.9566826272971</v>
      </c>
      <c r="F26" s="6" t="s">
        <v>77</v>
      </c>
      <c r="G26" s="12" t="str">
        <f t="shared" si="4"/>
        <v>50865.292</v>
      </c>
      <c r="H26" s="39">
        <f t="shared" si="5"/>
        <v>-916</v>
      </c>
      <c r="I26" s="51" t="s">
        <v>169</v>
      </c>
      <c r="J26" s="52" t="s">
        <v>170</v>
      </c>
      <c r="K26" s="51">
        <v>-916</v>
      </c>
      <c r="L26" s="51" t="s">
        <v>171</v>
      </c>
      <c r="M26" s="52" t="s">
        <v>82</v>
      </c>
      <c r="N26" s="52"/>
      <c r="O26" s="53" t="s">
        <v>109</v>
      </c>
      <c r="P26" s="53" t="s">
        <v>172</v>
      </c>
    </row>
    <row r="27" spans="1:16" ht="12.75" customHeight="1" thickBot="1">
      <c r="A27" s="39" t="str">
        <f t="shared" si="0"/>
        <v> BBS 120 </v>
      </c>
      <c r="B27" s="6" t="str">
        <f t="shared" si="1"/>
        <v>I</v>
      </c>
      <c r="C27" s="39">
        <f t="shared" si="2"/>
        <v>51225.322</v>
      </c>
      <c r="D27" s="12" t="str">
        <f t="shared" si="3"/>
        <v>vis</v>
      </c>
      <c r="E27" s="50">
        <f>VLOOKUP(C27,Active!C$21:E$973,3,FALSE)</f>
        <v>4258.9588548633974</v>
      </c>
      <c r="F27" s="6" t="s">
        <v>77</v>
      </c>
      <c r="G27" s="12" t="str">
        <f t="shared" si="4"/>
        <v>51225.322</v>
      </c>
      <c r="H27" s="39">
        <f t="shared" si="5"/>
        <v>-742</v>
      </c>
      <c r="I27" s="51" t="s">
        <v>179</v>
      </c>
      <c r="J27" s="52" t="s">
        <v>180</v>
      </c>
      <c r="K27" s="51">
        <v>-742</v>
      </c>
      <c r="L27" s="51" t="s">
        <v>181</v>
      </c>
      <c r="M27" s="52" t="s">
        <v>82</v>
      </c>
      <c r="N27" s="52"/>
      <c r="O27" s="53" t="s">
        <v>109</v>
      </c>
      <c r="P27" s="53" t="s">
        <v>182</v>
      </c>
    </row>
    <row r="28" spans="1:16" ht="12.75" customHeight="1" thickBot="1">
      <c r="A28" s="39" t="str">
        <f t="shared" si="0"/>
        <v> BBS 130 </v>
      </c>
      <c r="B28" s="6" t="str">
        <f t="shared" si="1"/>
        <v>I</v>
      </c>
      <c r="C28" s="39">
        <f t="shared" si="2"/>
        <v>52940.582000000002</v>
      </c>
      <c r="D28" s="12" t="str">
        <f t="shared" si="3"/>
        <v>vis</v>
      </c>
      <c r="E28" s="50">
        <f>VLOOKUP(C28,Active!C$21:E$973,3,FALSE)</f>
        <v>5087.9424560902244</v>
      </c>
      <c r="F28" s="6" t="s">
        <v>77</v>
      </c>
      <c r="G28" s="12" t="str">
        <f t="shared" si="4"/>
        <v>52940.582</v>
      </c>
      <c r="H28" s="39">
        <f t="shared" si="5"/>
        <v>87</v>
      </c>
      <c r="I28" s="51" t="s">
        <v>200</v>
      </c>
      <c r="J28" s="52" t="s">
        <v>201</v>
      </c>
      <c r="K28" s="51">
        <v>87</v>
      </c>
      <c r="L28" s="51" t="s">
        <v>121</v>
      </c>
      <c r="M28" s="52" t="s">
        <v>82</v>
      </c>
      <c r="N28" s="52"/>
      <c r="O28" s="53" t="s">
        <v>109</v>
      </c>
      <c r="P28" s="53" t="s">
        <v>202</v>
      </c>
    </row>
    <row r="29" spans="1:16" ht="12.75" customHeight="1" thickBot="1">
      <c r="A29" s="39" t="str">
        <f t="shared" si="0"/>
        <v>OEJV 0003 </v>
      </c>
      <c r="B29" s="6" t="str">
        <f t="shared" si="1"/>
        <v>I</v>
      </c>
      <c r="C29" s="39">
        <f t="shared" si="2"/>
        <v>53385.425000000003</v>
      </c>
      <c r="D29" s="12" t="str">
        <f t="shared" si="3"/>
        <v>vis</v>
      </c>
      <c r="E29" s="50">
        <f>VLOOKUP(C29,Active!C$21:E$973,3,FALSE)</f>
        <v>5302.9346742498883</v>
      </c>
      <c r="F29" s="6" t="s">
        <v>77</v>
      </c>
      <c r="G29" s="12" t="str">
        <f t="shared" si="4"/>
        <v>53385.425</v>
      </c>
      <c r="H29" s="39">
        <f t="shared" si="5"/>
        <v>302</v>
      </c>
      <c r="I29" s="51" t="s">
        <v>203</v>
      </c>
      <c r="J29" s="52" t="s">
        <v>204</v>
      </c>
      <c r="K29" s="51">
        <v>302</v>
      </c>
      <c r="L29" s="51" t="s">
        <v>205</v>
      </c>
      <c r="M29" s="52" t="s">
        <v>82</v>
      </c>
      <c r="N29" s="52"/>
      <c r="O29" s="53" t="s">
        <v>109</v>
      </c>
      <c r="P29" s="54" t="s">
        <v>206</v>
      </c>
    </row>
    <row r="30" spans="1:16" ht="12.75" customHeight="1" thickBot="1">
      <c r="A30" s="39" t="str">
        <f t="shared" si="0"/>
        <v> AAC 2.50 </v>
      </c>
      <c r="B30" s="6" t="str">
        <f t="shared" si="1"/>
        <v>I</v>
      </c>
      <c r="C30" s="39">
        <f t="shared" si="2"/>
        <v>26034.221000000001</v>
      </c>
      <c r="D30" s="12" t="str">
        <f t="shared" si="3"/>
        <v>vis</v>
      </c>
      <c r="E30" s="50">
        <f>VLOOKUP(C30,Active!C$21:E$973,3,FALSE)</f>
        <v>-7915.8773949463639</v>
      </c>
      <c r="F30" s="6" t="s">
        <v>77</v>
      </c>
      <c r="G30" s="12" t="str">
        <f t="shared" si="4"/>
        <v>26034.221</v>
      </c>
      <c r="H30" s="39">
        <f t="shared" si="5"/>
        <v>-12917</v>
      </c>
      <c r="I30" s="51" t="s">
        <v>79</v>
      </c>
      <c r="J30" s="52" t="s">
        <v>80</v>
      </c>
      <c r="K30" s="51">
        <v>-12917</v>
      </c>
      <c r="L30" s="51" t="s">
        <v>81</v>
      </c>
      <c r="M30" s="52" t="s">
        <v>82</v>
      </c>
      <c r="N30" s="52"/>
      <c r="O30" s="53" t="s">
        <v>83</v>
      </c>
      <c r="P30" s="53" t="s">
        <v>84</v>
      </c>
    </row>
    <row r="31" spans="1:16" ht="12.75" customHeight="1" thickBot="1">
      <c r="A31" s="39" t="str">
        <f t="shared" si="0"/>
        <v> AAC 2.50 </v>
      </c>
      <c r="B31" s="6" t="str">
        <f t="shared" si="1"/>
        <v>I</v>
      </c>
      <c r="C31" s="39">
        <f t="shared" si="2"/>
        <v>26065.25</v>
      </c>
      <c r="D31" s="12" t="str">
        <f t="shared" si="3"/>
        <v>vis</v>
      </c>
      <c r="E31" s="50">
        <f>VLOOKUP(C31,Active!C$21:E$973,3,FALSE)</f>
        <v>-7900.8811074083433</v>
      </c>
      <c r="F31" s="6" t="s">
        <v>77</v>
      </c>
      <c r="G31" s="12" t="str">
        <f t="shared" si="4"/>
        <v>26065.250</v>
      </c>
      <c r="H31" s="39">
        <f t="shared" si="5"/>
        <v>-12902</v>
      </c>
      <c r="I31" s="51" t="s">
        <v>85</v>
      </c>
      <c r="J31" s="52" t="s">
        <v>86</v>
      </c>
      <c r="K31" s="51">
        <v>-12902</v>
      </c>
      <c r="L31" s="51" t="s">
        <v>87</v>
      </c>
      <c r="M31" s="52" t="s">
        <v>82</v>
      </c>
      <c r="N31" s="52"/>
      <c r="O31" s="53" t="s">
        <v>83</v>
      </c>
      <c r="P31" s="53" t="s">
        <v>84</v>
      </c>
    </row>
    <row r="32" spans="1:16" ht="12.75" customHeight="1" thickBot="1">
      <c r="A32" s="39" t="str">
        <f t="shared" si="0"/>
        <v> AAC 2.50 </v>
      </c>
      <c r="B32" s="6" t="str">
        <f t="shared" si="1"/>
        <v>I</v>
      </c>
      <c r="C32" s="39">
        <f t="shared" si="2"/>
        <v>26067.325000000001</v>
      </c>
      <c r="D32" s="12" t="str">
        <f t="shared" si="3"/>
        <v>vis</v>
      </c>
      <c r="E32" s="50">
        <f>VLOOKUP(C32,Active!C$21:E$973,3,FALSE)</f>
        <v>-7899.8782617916168</v>
      </c>
      <c r="F32" s="6" t="s">
        <v>77</v>
      </c>
      <c r="G32" s="12" t="str">
        <f t="shared" si="4"/>
        <v>26067.325</v>
      </c>
      <c r="H32" s="39">
        <f t="shared" si="5"/>
        <v>-12901</v>
      </c>
      <c r="I32" s="51" t="s">
        <v>88</v>
      </c>
      <c r="J32" s="52" t="s">
        <v>89</v>
      </c>
      <c r="K32" s="51">
        <v>-12901</v>
      </c>
      <c r="L32" s="51" t="s">
        <v>90</v>
      </c>
      <c r="M32" s="52" t="s">
        <v>82</v>
      </c>
      <c r="N32" s="52"/>
      <c r="O32" s="53" t="s">
        <v>83</v>
      </c>
      <c r="P32" s="53" t="s">
        <v>84</v>
      </c>
    </row>
    <row r="33" spans="1:16" ht="12.75" customHeight="1" thickBot="1">
      <c r="A33" s="39" t="str">
        <f t="shared" si="0"/>
        <v> AAC 2.50 </v>
      </c>
      <c r="B33" s="6" t="str">
        <f t="shared" si="1"/>
        <v>I</v>
      </c>
      <c r="C33" s="39">
        <f t="shared" si="2"/>
        <v>26309.415000000001</v>
      </c>
      <c r="D33" s="12" t="str">
        <f t="shared" si="3"/>
        <v>vis</v>
      </c>
      <c r="E33" s="50">
        <f>VLOOKUP(C33,Active!C$21:E$973,3,FALSE)</f>
        <v>-7782.8763845129515</v>
      </c>
      <c r="F33" s="6" t="s">
        <v>77</v>
      </c>
      <c r="G33" s="12" t="str">
        <f t="shared" si="4"/>
        <v>26309.415</v>
      </c>
      <c r="H33" s="39">
        <f t="shared" si="5"/>
        <v>-12784</v>
      </c>
      <c r="I33" s="51" t="s">
        <v>91</v>
      </c>
      <c r="J33" s="52" t="s">
        <v>92</v>
      </c>
      <c r="K33" s="51">
        <v>-12784</v>
      </c>
      <c r="L33" s="51" t="s">
        <v>93</v>
      </c>
      <c r="M33" s="52" t="s">
        <v>82</v>
      </c>
      <c r="N33" s="52"/>
      <c r="O33" s="53" t="s">
        <v>83</v>
      </c>
      <c r="P33" s="53" t="s">
        <v>84</v>
      </c>
    </row>
    <row r="34" spans="1:16" ht="12.75" customHeight="1" thickBot="1">
      <c r="A34" s="39" t="str">
        <f t="shared" si="0"/>
        <v> PSMO 8.2.52 </v>
      </c>
      <c r="B34" s="6" t="str">
        <f t="shared" si="1"/>
        <v>I</v>
      </c>
      <c r="C34" s="39">
        <f t="shared" si="2"/>
        <v>26781.153999999999</v>
      </c>
      <c r="D34" s="12" t="str">
        <f t="shared" si="3"/>
        <v>vis</v>
      </c>
      <c r="E34" s="50">
        <f>VLOOKUP(C34,Active!C$21:E$973,3,FALSE)</f>
        <v>-7554.8853539641486</v>
      </c>
      <c r="F34" s="6" t="s">
        <v>77</v>
      </c>
      <c r="G34" s="12" t="str">
        <f t="shared" si="4"/>
        <v>26781.154</v>
      </c>
      <c r="H34" s="39">
        <f t="shared" si="5"/>
        <v>-12556</v>
      </c>
      <c r="I34" s="51" t="s">
        <v>94</v>
      </c>
      <c r="J34" s="52" t="s">
        <v>95</v>
      </c>
      <c r="K34" s="51">
        <v>-12556</v>
      </c>
      <c r="L34" s="51" t="s">
        <v>87</v>
      </c>
      <c r="M34" s="52" t="s">
        <v>82</v>
      </c>
      <c r="N34" s="52"/>
      <c r="O34" s="53" t="s">
        <v>96</v>
      </c>
      <c r="P34" s="53" t="s">
        <v>97</v>
      </c>
    </row>
    <row r="35" spans="1:16" ht="12.75" customHeight="1" thickBot="1">
      <c r="A35" s="39" t="str">
        <f t="shared" si="0"/>
        <v> PSMO 8.2.52 </v>
      </c>
      <c r="B35" s="6" t="str">
        <f t="shared" si="1"/>
        <v>I</v>
      </c>
      <c r="C35" s="39">
        <f t="shared" si="2"/>
        <v>26859.15</v>
      </c>
      <c r="D35" s="12" t="str">
        <f t="shared" si="3"/>
        <v>vis</v>
      </c>
      <c r="E35" s="50">
        <f>VLOOKUP(C35,Active!C$21:E$973,3,FALSE)</f>
        <v>-7517.1899579534629</v>
      </c>
      <c r="F35" s="6" t="s">
        <v>77</v>
      </c>
      <c r="G35" s="12" t="str">
        <f t="shared" si="4"/>
        <v>26859.150</v>
      </c>
      <c r="H35" s="39">
        <f t="shared" si="5"/>
        <v>-12518</v>
      </c>
      <c r="I35" s="51" t="s">
        <v>98</v>
      </c>
      <c r="J35" s="52" t="s">
        <v>99</v>
      </c>
      <c r="K35" s="51">
        <v>-12518</v>
      </c>
      <c r="L35" s="51" t="s">
        <v>100</v>
      </c>
      <c r="M35" s="52" t="s">
        <v>82</v>
      </c>
      <c r="N35" s="52"/>
      <c r="O35" s="53" t="s">
        <v>96</v>
      </c>
      <c r="P35" s="53" t="s">
        <v>97</v>
      </c>
    </row>
    <row r="36" spans="1:16" ht="12.75" customHeight="1" thickBot="1">
      <c r="A36" s="39" t="str">
        <f t="shared" si="0"/>
        <v> BBS 7 </v>
      </c>
      <c r="B36" s="6" t="str">
        <f t="shared" si="1"/>
        <v>I</v>
      </c>
      <c r="C36" s="39">
        <f t="shared" si="2"/>
        <v>41707.487000000001</v>
      </c>
      <c r="D36" s="12" t="str">
        <f t="shared" si="3"/>
        <v>vis</v>
      </c>
      <c r="E36" s="50">
        <f>VLOOKUP(C36,Active!C$21:E$973,3,FALSE)</f>
        <v>-341.00216223180968</v>
      </c>
      <c r="F36" s="6" t="s">
        <v>77</v>
      </c>
      <c r="G36" s="12" t="str">
        <f t="shared" si="4"/>
        <v>41707.487</v>
      </c>
      <c r="H36" s="39">
        <f t="shared" si="5"/>
        <v>-5342</v>
      </c>
      <c r="I36" s="51" t="s">
        <v>106</v>
      </c>
      <c r="J36" s="52" t="s">
        <v>107</v>
      </c>
      <c r="K36" s="51">
        <v>-5342</v>
      </c>
      <c r="L36" s="51" t="s">
        <v>108</v>
      </c>
      <c r="M36" s="52" t="s">
        <v>82</v>
      </c>
      <c r="N36" s="52"/>
      <c r="O36" s="53" t="s">
        <v>109</v>
      </c>
      <c r="P36" s="53" t="s">
        <v>110</v>
      </c>
    </row>
    <row r="37" spans="1:16" ht="12.75" customHeight="1" thickBot="1">
      <c r="A37" s="39" t="str">
        <f t="shared" si="0"/>
        <v> BBS 68 </v>
      </c>
      <c r="B37" s="6" t="str">
        <f t="shared" si="1"/>
        <v>I</v>
      </c>
      <c r="C37" s="39">
        <f t="shared" si="2"/>
        <v>45386.322999999997</v>
      </c>
      <c r="D37" s="12" t="str">
        <f t="shared" si="3"/>
        <v>vis</v>
      </c>
      <c r="E37" s="50">
        <f>VLOOKUP(C37,Active!C$21:E$973,3,FALSE)</f>
        <v>1436.9759376497752</v>
      </c>
      <c r="F37" s="6" t="s">
        <v>77</v>
      </c>
      <c r="G37" s="12" t="str">
        <f t="shared" si="4"/>
        <v>45386.323</v>
      </c>
      <c r="H37" s="39">
        <f t="shared" si="5"/>
        <v>-3564</v>
      </c>
      <c r="I37" s="51" t="s">
        <v>146</v>
      </c>
      <c r="J37" s="52" t="s">
        <v>147</v>
      </c>
      <c r="K37" s="51">
        <v>-3564</v>
      </c>
      <c r="L37" s="51" t="s">
        <v>148</v>
      </c>
      <c r="M37" s="52" t="s">
        <v>82</v>
      </c>
      <c r="N37" s="52"/>
      <c r="O37" s="53" t="s">
        <v>149</v>
      </c>
      <c r="P37" s="53" t="s">
        <v>150</v>
      </c>
    </row>
    <row r="38" spans="1:16" ht="12.75" customHeight="1" thickBot="1">
      <c r="A38" s="39" t="str">
        <f t="shared" si="0"/>
        <v>VSB 47 </v>
      </c>
      <c r="B38" s="6" t="str">
        <f t="shared" si="1"/>
        <v>I</v>
      </c>
      <c r="C38" s="39">
        <f t="shared" si="2"/>
        <v>51190.14</v>
      </c>
      <c r="D38" s="12" t="str">
        <f t="shared" si="3"/>
        <v>vis</v>
      </c>
      <c r="E38" s="50">
        <f>VLOOKUP(C38,Active!C$21:E$973,3,FALSE)</f>
        <v>4241.955426194646</v>
      </c>
      <c r="F38" s="6" t="s">
        <v>77</v>
      </c>
      <c r="G38" s="12" t="str">
        <f t="shared" si="4"/>
        <v>51190.14</v>
      </c>
      <c r="H38" s="39">
        <f t="shared" si="5"/>
        <v>-759</v>
      </c>
      <c r="I38" s="51" t="s">
        <v>173</v>
      </c>
      <c r="J38" s="52" t="s">
        <v>174</v>
      </c>
      <c r="K38" s="51">
        <v>-759</v>
      </c>
      <c r="L38" s="51" t="s">
        <v>175</v>
      </c>
      <c r="M38" s="52" t="s">
        <v>176</v>
      </c>
      <c r="N38" s="52" t="s">
        <v>77</v>
      </c>
      <c r="O38" s="53" t="s">
        <v>177</v>
      </c>
      <c r="P38" s="54" t="s">
        <v>178</v>
      </c>
    </row>
    <row r="39" spans="1:16" ht="12.75" customHeight="1" thickBot="1">
      <c r="A39" s="39" t="str">
        <f t="shared" si="0"/>
        <v> BBS 121 </v>
      </c>
      <c r="B39" s="6" t="str">
        <f t="shared" si="1"/>
        <v>I</v>
      </c>
      <c r="C39" s="39">
        <f t="shared" si="2"/>
        <v>51473.616000000002</v>
      </c>
      <c r="D39" s="12" t="str">
        <f t="shared" si="3"/>
        <v>vis</v>
      </c>
      <c r="E39" s="50">
        <f>VLOOKUP(C39,Active!C$21:E$973,3,FALSE)</f>
        <v>4378.9591197113004</v>
      </c>
      <c r="F39" s="6" t="s">
        <v>77</v>
      </c>
      <c r="G39" s="12" t="str">
        <f t="shared" si="4"/>
        <v>51473.616</v>
      </c>
      <c r="H39" s="39">
        <f t="shared" si="5"/>
        <v>-622</v>
      </c>
      <c r="I39" s="51" t="s">
        <v>183</v>
      </c>
      <c r="J39" s="52" t="s">
        <v>184</v>
      </c>
      <c r="K39" s="51">
        <v>-622</v>
      </c>
      <c r="L39" s="51" t="s">
        <v>185</v>
      </c>
      <c r="M39" s="52" t="s">
        <v>82</v>
      </c>
      <c r="N39" s="52"/>
      <c r="O39" s="53" t="s">
        <v>109</v>
      </c>
      <c r="P39" s="53" t="s">
        <v>186</v>
      </c>
    </row>
    <row r="40" spans="1:16" ht="12.75" customHeight="1" thickBot="1">
      <c r="A40" s="39" t="str">
        <f t="shared" si="0"/>
        <v> BBS 122 </v>
      </c>
      <c r="B40" s="6" t="str">
        <f t="shared" si="1"/>
        <v>I</v>
      </c>
      <c r="C40" s="39">
        <f t="shared" si="2"/>
        <v>51614.302000000003</v>
      </c>
      <c r="D40" s="12" t="str">
        <f t="shared" si="3"/>
        <v>vis</v>
      </c>
      <c r="E40" s="50">
        <f>VLOOKUP(C40,Active!C$21:E$973,3,FALSE)</f>
        <v>4446.9525358244255</v>
      </c>
      <c r="F40" s="6" t="s">
        <v>77</v>
      </c>
      <c r="G40" s="12" t="str">
        <f t="shared" si="4"/>
        <v>51614.302</v>
      </c>
      <c r="H40" s="39">
        <f t="shared" si="5"/>
        <v>-554</v>
      </c>
      <c r="I40" s="51" t="s">
        <v>187</v>
      </c>
      <c r="J40" s="52" t="s">
        <v>188</v>
      </c>
      <c r="K40" s="51">
        <v>-554</v>
      </c>
      <c r="L40" s="51" t="s">
        <v>171</v>
      </c>
      <c r="M40" s="52" t="s">
        <v>82</v>
      </c>
      <c r="N40" s="52"/>
      <c r="O40" s="53" t="s">
        <v>109</v>
      </c>
      <c r="P40" s="53" t="s">
        <v>189</v>
      </c>
    </row>
    <row r="41" spans="1:16" ht="12.75" customHeight="1" thickBot="1">
      <c r="A41" s="39" t="str">
        <f t="shared" si="0"/>
        <v> BBS 129 </v>
      </c>
      <c r="B41" s="6" t="str">
        <f t="shared" si="1"/>
        <v>II</v>
      </c>
      <c r="C41" s="39">
        <f t="shared" si="2"/>
        <v>51694.353000000003</v>
      </c>
      <c r="D41" s="12" t="str">
        <f t="shared" si="3"/>
        <v>vis</v>
      </c>
      <c r="E41" s="50">
        <f>VLOOKUP(C41,Active!C$21:E$973,3,FALSE)</f>
        <v>4485.6411114699886</v>
      </c>
      <c r="F41" s="6" t="s">
        <v>77</v>
      </c>
      <c r="G41" s="12" t="str">
        <f t="shared" si="4"/>
        <v>51694.353</v>
      </c>
      <c r="H41" s="39">
        <f t="shared" si="5"/>
        <v>-515.5</v>
      </c>
      <c r="I41" s="51" t="s">
        <v>190</v>
      </c>
      <c r="J41" s="52" t="s">
        <v>191</v>
      </c>
      <c r="K41" s="51">
        <v>-515.5</v>
      </c>
      <c r="L41" s="51" t="s">
        <v>192</v>
      </c>
      <c r="M41" s="52" t="s">
        <v>82</v>
      </c>
      <c r="N41" s="52"/>
      <c r="O41" s="53" t="s">
        <v>109</v>
      </c>
      <c r="P41" s="53" t="s">
        <v>193</v>
      </c>
    </row>
    <row r="42" spans="1:16" ht="12.75" customHeight="1" thickBot="1">
      <c r="A42" s="39" t="str">
        <f t="shared" si="0"/>
        <v>VSB 39 </v>
      </c>
      <c r="B42" s="6" t="str">
        <f t="shared" si="1"/>
        <v>I</v>
      </c>
      <c r="C42" s="39">
        <f t="shared" si="2"/>
        <v>52270.191800000001</v>
      </c>
      <c r="D42" s="12" t="str">
        <f t="shared" si="3"/>
        <v>vis</v>
      </c>
      <c r="E42" s="50">
        <f>VLOOKUP(C42,Active!C$21:E$973,3,FALSE)</f>
        <v>4763.9434808776186</v>
      </c>
      <c r="F42" s="6" t="s">
        <v>77</v>
      </c>
      <c r="G42" s="12" t="str">
        <f t="shared" si="4"/>
        <v>52270.1918</v>
      </c>
      <c r="H42" s="39">
        <f t="shared" si="5"/>
        <v>-237</v>
      </c>
      <c r="I42" s="51" t="s">
        <v>194</v>
      </c>
      <c r="J42" s="52" t="s">
        <v>195</v>
      </c>
      <c r="K42" s="51">
        <v>-237</v>
      </c>
      <c r="L42" s="51" t="s">
        <v>196</v>
      </c>
      <c r="M42" s="52" t="s">
        <v>197</v>
      </c>
      <c r="N42" s="52" t="s">
        <v>198</v>
      </c>
      <c r="O42" s="53" t="s">
        <v>177</v>
      </c>
      <c r="P42" s="54" t="s">
        <v>199</v>
      </c>
    </row>
    <row r="43" spans="1:16" ht="12.75" customHeight="1" thickBot="1">
      <c r="A43" s="39" t="str">
        <f t="shared" si="0"/>
        <v>VSB 44 </v>
      </c>
      <c r="B43" s="6" t="str">
        <f t="shared" si="1"/>
        <v>I</v>
      </c>
      <c r="C43" s="39">
        <f t="shared" si="2"/>
        <v>53708.203600000001</v>
      </c>
      <c r="D43" s="12" t="str">
        <f t="shared" si="3"/>
        <v>vis</v>
      </c>
      <c r="E43" s="50">
        <f>VLOOKUP(C43,Active!C$21:E$973,3,FALSE)</f>
        <v>5458.9332786754276</v>
      </c>
      <c r="F43" s="6" t="s">
        <v>77</v>
      </c>
      <c r="G43" s="12" t="str">
        <f t="shared" si="4"/>
        <v>53708.2036</v>
      </c>
      <c r="H43" s="39">
        <f t="shared" si="5"/>
        <v>458</v>
      </c>
      <c r="I43" s="51" t="s">
        <v>207</v>
      </c>
      <c r="J43" s="52" t="s">
        <v>208</v>
      </c>
      <c r="K43" s="51">
        <v>458</v>
      </c>
      <c r="L43" s="51" t="s">
        <v>209</v>
      </c>
      <c r="M43" s="52" t="s">
        <v>197</v>
      </c>
      <c r="N43" s="52" t="s">
        <v>198</v>
      </c>
      <c r="O43" s="53" t="s">
        <v>177</v>
      </c>
      <c r="P43" s="54" t="s">
        <v>210</v>
      </c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</sheetData>
  <phoneticPr fontId="8" type="noConversion"/>
  <hyperlinks>
    <hyperlink ref="P11" r:id="rId1" display="http://www.konkoly.hu/cgi-bin/IBVS?46"/>
    <hyperlink ref="P38" r:id="rId2" display="http://vsolj.cetus-net.org/no47.pdf"/>
    <hyperlink ref="P42" r:id="rId3" display="http://vsolj.cetus-net.org/no39.pdf"/>
    <hyperlink ref="P29" r:id="rId4" display="http://var.astro.cz/oejv/issues/oejv0003.pdf"/>
    <hyperlink ref="P43" r:id="rId5" display="http://vsolj.cetus-net.org/no44.pdf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46"/>
  <sheetViews>
    <sheetView workbookViewId="0">
      <selection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26</v>
      </c>
    </row>
    <row r="4" spans="1:4">
      <c r="A4" s="8" t="s">
        <v>0</v>
      </c>
      <c r="C4" s="3">
        <v>42413.058700000001</v>
      </c>
      <c r="D4" s="4">
        <v>2.0691120999999999</v>
      </c>
    </row>
    <row r="6" spans="1:4">
      <c r="A6" s="8" t="s">
        <v>1</v>
      </c>
    </row>
    <row r="7" spans="1:4">
      <c r="A7" t="s">
        <v>2</v>
      </c>
      <c r="C7">
        <f>+C4</f>
        <v>42413.058700000001</v>
      </c>
    </row>
    <row r="8" spans="1:4">
      <c r="A8" t="s">
        <v>3</v>
      </c>
      <c r="C8">
        <v>2.069089956564738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INTERCEPT(G21:G993,F21:F993)</f>
        <v>-5.1423325473900815E-3</v>
      </c>
      <c r="D11" s="6"/>
    </row>
    <row r="12" spans="1:4">
      <c r="A12" t="s">
        <v>17</v>
      </c>
      <c r="C12">
        <f>SLOPE(G21:G993,F21:F993)</f>
        <v>3.7850903316634887E-16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3">
        <v>52940.582000000002</v>
      </c>
    </row>
    <row r="16" spans="1:4">
      <c r="A16" s="8" t="s">
        <v>4</v>
      </c>
      <c r="C16">
        <f>+C8+C12</f>
        <v>2.0690899565647385</v>
      </c>
    </row>
    <row r="17" spans="1:31" ht="13.5" thickBot="1"/>
    <row r="18" spans="1:31">
      <c r="A18" s="8" t="s">
        <v>5</v>
      </c>
      <c r="C18" s="3">
        <f>+C15</f>
        <v>52940.582000000002</v>
      </c>
      <c r="D18" s="4">
        <f>+C16</f>
        <v>2.0690899565647385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52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>
        <v>42413.058700000001</v>
      </c>
      <c r="D21" s="6" t="s">
        <v>14</v>
      </c>
      <c r="E21">
        <f t="shared" ref="E21:E39" si="0">+(C21-C$7)/C$8</f>
        <v>0</v>
      </c>
      <c r="F21">
        <f t="shared" ref="F21:F39" si="1">ROUND(2*E21,0)/2</f>
        <v>0</v>
      </c>
      <c r="G21">
        <f t="shared" ref="G21:G39" si="2">+C21-(C$7+F21*C$8)</f>
        <v>0</v>
      </c>
      <c r="H21">
        <f>+G21</f>
        <v>0</v>
      </c>
      <c r="O21">
        <f t="shared" ref="O21:O39" si="3">+C$11+C$12*F21</f>
        <v>-5.1423325473900815E-3</v>
      </c>
      <c r="Q21" s="2">
        <f t="shared" ref="Q21:Q39" si="4">+C21-15018.5</f>
        <v>27394.558700000001</v>
      </c>
    </row>
    <row r="22" spans="1:31">
      <c r="A22" t="s">
        <v>33</v>
      </c>
      <c r="C22" s="11">
        <v>42036.480000000003</v>
      </c>
      <c r="D22" s="6"/>
      <c r="E22">
        <f t="shared" si="0"/>
        <v>-182.00209169504794</v>
      </c>
      <c r="F22">
        <f t="shared" si="1"/>
        <v>-182</v>
      </c>
      <c r="G22">
        <f t="shared" si="2"/>
        <v>-4.327905218815431E-3</v>
      </c>
      <c r="I22">
        <f t="shared" ref="I22:I38" si="5">+G22</f>
        <v>-4.327905218815431E-3</v>
      </c>
      <c r="O22">
        <f t="shared" si="3"/>
        <v>-5.14233254745897E-3</v>
      </c>
      <c r="Q22" s="2">
        <f t="shared" si="4"/>
        <v>27017.980000000003</v>
      </c>
      <c r="AA22" t="s">
        <v>32</v>
      </c>
      <c r="AE22" t="s">
        <v>34</v>
      </c>
    </row>
    <row r="23" spans="1:31">
      <c r="A23" t="s">
        <v>35</v>
      </c>
      <c r="C23" s="11">
        <v>42454.44</v>
      </c>
      <c r="D23" s="6"/>
      <c r="E23">
        <f t="shared" si="0"/>
        <v>19.999758767717054</v>
      </c>
      <c r="F23">
        <f t="shared" si="1"/>
        <v>20</v>
      </c>
      <c r="G23">
        <f t="shared" si="2"/>
        <v>-4.9913129623746499E-4</v>
      </c>
      <c r="I23">
        <f t="shared" si="5"/>
        <v>-4.9913129623746499E-4</v>
      </c>
      <c r="O23">
        <f t="shared" si="3"/>
        <v>-5.1423325473825112E-3</v>
      </c>
      <c r="Q23" s="2">
        <f t="shared" si="4"/>
        <v>27435.940000000002</v>
      </c>
      <c r="AA23" t="s">
        <v>32</v>
      </c>
      <c r="AE23" t="s">
        <v>34</v>
      </c>
    </row>
    <row r="24" spans="1:31">
      <c r="A24" t="s">
        <v>36</v>
      </c>
      <c r="C24" s="11">
        <v>42758.6</v>
      </c>
      <c r="D24" s="6"/>
      <c r="E24">
        <f t="shared" si="0"/>
        <v>167.0015839106828</v>
      </c>
      <c r="F24">
        <f t="shared" si="1"/>
        <v>167</v>
      </c>
      <c r="G24">
        <f t="shared" si="2"/>
        <v>3.2772536869742908E-3</v>
      </c>
      <c r="I24">
        <f t="shared" si="5"/>
        <v>3.2772536869742908E-3</v>
      </c>
      <c r="O24">
        <f t="shared" si="3"/>
        <v>-5.1423325473268708E-3</v>
      </c>
      <c r="Q24" s="2">
        <f t="shared" si="4"/>
        <v>27740.1</v>
      </c>
      <c r="AA24" t="s">
        <v>32</v>
      </c>
      <c r="AE24" t="s">
        <v>34</v>
      </c>
    </row>
    <row r="25" spans="1:31">
      <c r="A25" t="s">
        <v>37</v>
      </c>
      <c r="C25" s="11">
        <v>42785.497000000003</v>
      </c>
      <c r="E25">
        <f t="shared" si="0"/>
        <v>180.00101871759711</v>
      </c>
      <c r="F25">
        <f t="shared" si="1"/>
        <v>180</v>
      </c>
      <c r="G25">
        <f t="shared" si="2"/>
        <v>2.1078183490317315E-3</v>
      </c>
      <c r="I25">
        <f t="shared" si="5"/>
        <v>2.1078183490317315E-3</v>
      </c>
      <c r="O25">
        <f t="shared" si="3"/>
        <v>-5.1423325473219502E-3</v>
      </c>
      <c r="Q25" s="2">
        <f t="shared" si="4"/>
        <v>27766.997000000003</v>
      </c>
      <c r="AA25" t="s">
        <v>32</v>
      </c>
      <c r="AE25" t="s">
        <v>34</v>
      </c>
    </row>
    <row r="26" spans="1:31">
      <c r="A26" t="s">
        <v>38</v>
      </c>
      <c r="C26" s="11">
        <v>42841.358</v>
      </c>
      <c r="D26" s="6"/>
      <c r="E26">
        <f t="shared" si="0"/>
        <v>206.99887824649932</v>
      </c>
      <c r="F26">
        <f t="shared" si="1"/>
        <v>207</v>
      </c>
      <c r="G26">
        <f t="shared" si="2"/>
        <v>-2.3210088984342292E-3</v>
      </c>
      <c r="I26">
        <f t="shared" si="5"/>
        <v>-2.3210088984342292E-3</v>
      </c>
      <c r="O26">
        <f t="shared" si="3"/>
        <v>-5.1423325473117301E-3</v>
      </c>
      <c r="Q26" s="2">
        <f t="shared" si="4"/>
        <v>27822.858</v>
      </c>
      <c r="AA26" t="s">
        <v>32</v>
      </c>
      <c r="AE26" t="s">
        <v>34</v>
      </c>
    </row>
    <row r="27" spans="1:31">
      <c r="A27" t="s">
        <v>39</v>
      </c>
      <c r="C27" s="11">
        <v>43890.389000000003</v>
      </c>
      <c r="D27" s="6"/>
      <c r="E27">
        <f t="shared" si="0"/>
        <v>714.0000343207787</v>
      </c>
      <c r="F27">
        <f t="shared" si="1"/>
        <v>714</v>
      </c>
      <c r="G27">
        <f t="shared" si="2"/>
        <v>7.1012778789736331E-5</v>
      </c>
      <c r="I27">
        <f t="shared" si="5"/>
        <v>7.1012778789736331E-5</v>
      </c>
      <c r="O27">
        <f t="shared" si="3"/>
        <v>-5.1423325471198263E-3</v>
      </c>
      <c r="Q27" s="2">
        <f t="shared" si="4"/>
        <v>28871.889000000003</v>
      </c>
      <c r="AA27" t="s">
        <v>32</v>
      </c>
      <c r="AE27" t="s">
        <v>34</v>
      </c>
    </row>
    <row r="28" spans="1:31">
      <c r="A28" t="s">
        <v>40</v>
      </c>
      <c r="C28" s="11">
        <v>44885.612000000001</v>
      </c>
      <c r="D28" s="6"/>
      <c r="E28">
        <f t="shared" si="0"/>
        <v>1194.9955545215262</v>
      </c>
      <c r="F28">
        <f t="shared" si="1"/>
        <v>1195</v>
      </c>
      <c r="G28">
        <f t="shared" si="2"/>
        <v>-9.1980948636773974E-3</v>
      </c>
      <c r="I28">
        <f t="shared" si="5"/>
        <v>-9.1980948636773974E-3</v>
      </c>
      <c r="O28">
        <f t="shared" si="3"/>
        <v>-5.1423325469377636E-3</v>
      </c>
      <c r="Q28" s="2">
        <f t="shared" si="4"/>
        <v>29867.112000000001</v>
      </c>
      <c r="AA28" t="s">
        <v>32</v>
      </c>
      <c r="AE28" t="s">
        <v>34</v>
      </c>
    </row>
    <row r="29" spans="1:31">
      <c r="A29" t="s">
        <v>41</v>
      </c>
      <c r="C29" s="11">
        <v>45001.468999999997</v>
      </c>
      <c r="D29" s="6"/>
      <c r="E29">
        <f t="shared" si="0"/>
        <v>1250.9897367137548</v>
      </c>
      <c r="F29">
        <f t="shared" si="1"/>
        <v>1251</v>
      </c>
      <c r="G29">
        <f t="shared" si="2"/>
        <v>-2.123566249065334E-2</v>
      </c>
      <c r="I29">
        <f t="shared" si="5"/>
        <v>-2.123566249065334E-2</v>
      </c>
      <c r="O29">
        <f t="shared" si="3"/>
        <v>-5.142332546916567E-3</v>
      </c>
      <c r="Q29" s="2">
        <f t="shared" si="4"/>
        <v>29982.968999999997</v>
      </c>
      <c r="AA29" t="s">
        <v>32</v>
      </c>
      <c r="AE29" t="s">
        <v>34</v>
      </c>
    </row>
    <row r="30" spans="1:31">
      <c r="A30" t="s">
        <v>42</v>
      </c>
      <c r="C30" s="11">
        <v>45028.373</v>
      </c>
      <c r="D30" s="6"/>
      <c r="E30">
        <f t="shared" si="0"/>
        <v>1263.9925546505208</v>
      </c>
      <c r="F30">
        <f t="shared" si="1"/>
        <v>1264</v>
      </c>
      <c r="G30">
        <f t="shared" si="2"/>
        <v>-1.540509783080779E-2</v>
      </c>
      <c r="I30">
        <f t="shared" si="5"/>
        <v>-1.540509783080779E-2</v>
      </c>
      <c r="O30">
        <f t="shared" si="3"/>
        <v>-5.1423325469116465E-3</v>
      </c>
      <c r="Q30" s="2">
        <f t="shared" si="4"/>
        <v>30009.873</v>
      </c>
      <c r="AA30" t="s">
        <v>32</v>
      </c>
      <c r="AE30" t="s">
        <v>34</v>
      </c>
    </row>
    <row r="31" spans="1:31">
      <c r="A31" t="s">
        <v>43</v>
      </c>
      <c r="C31" s="11">
        <v>45386.326000000001</v>
      </c>
      <c r="D31" s="6"/>
      <c r="E31">
        <f t="shared" si="0"/>
        <v>1436.9927661030486</v>
      </c>
      <c r="F31">
        <f t="shared" si="1"/>
        <v>1437</v>
      </c>
      <c r="G31">
        <f t="shared" si="2"/>
        <v>-1.4967583527322859E-2</v>
      </c>
      <c r="I31">
        <f t="shared" si="5"/>
        <v>-1.4967583527322859E-2</v>
      </c>
      <c r="O31">
        <f t="shared" si="3"/>
        <v>-5.1423325468461642E-3</v>
      </c>
      <c r="Q31" s="2">
        <f t="shared" si="4"/>
        <v>30367.826000000001</v>
      </c>
      <c r="AA31" t="s">
        <v>32</v>
      </c>
      <c r="AE31" t="s">
        <v>34</v>
      </c>
    </row>
    <row r="32" spans="1:31">
      <c r="A32" t="s">
        <v>44</v>
      </c>
      <c r="C32" s="11">
        <v>46770.557999999997</v>
      </c>
      <c r="D32" s="6"/>
      <c r="E32">
        <f t="shared" si="0"/>
        <v>2105.9979950000097</v>
      </c>
      <c r="F32">
        <f t="shared" si="1"/>
        <v>2106</v>
      </c>
      <c r="G32">
        <f t="shared" si="2"/>
        <v>-4.1485253386781551E-3</v>
      </c>
      <c r="I32">
        <f t="shared" si="5"/>
        <v>-4.1485253386781551E-3</v>
      </c>
      <c r="O32">
        <f t="shared" si="3"/>
        <v>-5.1423325465929414E-3</v>
      </c>
      <c r="Q32" s="2">
        <f t="shared" si="4"/>
        <v>31752.057999999997</v>
      </c>
      <c r="AA32" t="s">
        <v>32</v>
      </c>
      <c r="AE32" t="s">
        <v>34</v>
      </c>
    </row>
    <row r="33" spans="1:31">
      <c r="A33" t="s">
        <v>45</v>
      </c>
      <c r="C33" s="11">
        <v>47159.546999999999</v>
      </c>
      <c r="D33" s="6"/>
      <c r="E33">
        <f t="shared" si="0"/>
        <v>2293.998037610932</v>
      </c>
      <c r="F33">
        <f t="shared" si="1"/>
        <v>2294</v>
      </c>
      <c r="G33">
        <f t="shared" si="2"/>
        <v>-4.0603595116408542E-3</v>
      </c>
      <c r="I33">
        <f t="shared" si="5"/>
        <v>-4.0603595116408542E-3</v>
      </c>
      <c r="O33">
        <f t="shared" si="3"/>
        <v>-5.1423325465217821E-3</v>
      </c>
      <c r="Q33" s="2">
        <f t="shared" si="4"/>
        <v>32141.046999999999</v>
      </c>
      <c r="AA33" t="s">
        <v>32</v>
      </c>
      <c r="AE33" t="s">
        <v>34</v>
      </c>
    </row>
    <row r="34" spans="1:31">
      <c r="A34" t="s">
        <v>46</v>
      </c>
      <c r="C34" s="11">
        <v>47432.659</v>
      </c>
      <c r="D34" s="6"/>
      <c r="E34">
        <f t="shared" si="0"/>
        <v>2425.9942319443298</v>
      </c>
      <c r="F34">
        <f t="shared" si="1"/>
        <v>2426</v>
      </c>
      <c r="G34">
        <f t="shared" si="2"/>
        <v>-1.193462605442619E-2</v>
      </c>
      <c r="I34">
        <f t="shared" si="5"/>
        <v>-1.193462605442619E-2</v>
      </c>
      <c r="O34">
        <f t="shared" si="3"/>
        <v>-5.1423325464718186E-3</v>
      </c>
      <c r="Q34" s="2">
        <f t="shared" si="4"/>
        <v>32414.159</v>
      </c>
      <c r="AA34" t="s">
        <v>32</v>
      </c>
      <c r="AE34" t="s">
        <v>34</v>
      </c>
    </row>
    <row r="35" spans="1:31">
      <c r="A35" t="s">
        <v>47</v>
      </c>
      <c r="C35" s="11">
        <v>47542.324999999997</v>
      </c>
      <c r="D35" s="6"/>
      <c r="E35">
        <f t="shared" si="0"/>
        <v>2478.9962774339679</v>
      </c>
      <c r="F35">
        <f t="shared" si="1"/>
        <v>2479</v>
      </c>
      <c r="G35">
        <f t="shared" si="2"/>
        <v>-7.7023239864502102E-3</v>
      </c>
      <c r="I35">
        <f t="shared" si="5"/>
        <v>-7.7023239864502102E-3</v>
      </c>
      <c r="O35">
        <f t="shared" si="3"/>
        <v>-5.1423325464517574E-3</v>
      </c>
      <c r="Q35" s="2">
        <f t="shared" si="4"/>
        <v>32523.824999999997</v>
      </c>
      <c r="AA35" t="s">
        <v>32</v>
      </c>
      <c r="AE35" t="s">
        <v>34</v>
      </c>
    </row>
    <row r="36" spans="1:31">
      <c r="A36" t="s">
        <v>48</v>
      </c>
      <c r="C36" s="11">
        <v>47962.347000000002</v>
      </c>
      <c r="D36" s="6"/>
      <c r="E36">
        <f t="shared" si="0"/>
        <v>2681.9947012904913</v>
      </c>
      <c r="F36">
        <f t="shared" si="1"/>
        <v>2682</v>
      </c>
      <c r="G36">
        <f t="shared" si="2"/>
        <v>-1.0963506625557784E-2</v>
      </c>
      <c r="I36">
        <f t="shared" si="5"/>
        <v>-1.0963506625557784E-2</v>
      </c>
      <c r="O36">
        <f t="shared" si="3"/>
        <v>-5.1423325463749205E-3</v>
      </c>
      <c r="Q36" s="2">
        <f t="shared" si="4"/>
        <v>32943.847000000002</v>
      </c>
      <c r="AA36" t="s">
        <v>32</v>
      </c>
      <c r="AE36" t="s">
        <v>34</v>
      </c>
    </row>
    <row r="37" spans="1:31">
      <c r="A37" t="s">
        <v>49</v>
      </c>
      <c r="C37" s="11">
        <v>50865.292000000001</v>
      </c>
      <c r="D37" s="6"/>
      <c r="E37">
        <f t="shared" si="0"/>
        <v>4085.0003999019195</v>
      </c>
      <c r="F37">
        <f t="shared" si="1"/>
        <v>4085</v>
      </c>
      <c r="G37">
        <f t="shared" si="2"/>
        <v>8.2743304665200412E-4</v>
      </c>
      <c r="I37">
        <f t="shared" si="5"/>
        <v>8.2743304665200412E-4</v>
      </c>
      <c r="O37">
        <f t="shared" si="3"/>
        <v>-5.1423325458438722E-3</v>
      </c>
      <c r="Q37" s="2">
        <f t="shared" si="4"/>
        <v>35846.792000000001</v>
      </c>
      <c r="AA37" t="s">
        <v>32</v>
      </c>
      <c r="AE37" t="s">
        <v>34</v>
      </c>
    </row>
    <row r="38" spans="1:31">
      <c r="A38" t="s">
        <v>53</v>
      </c>
      <c r="C38" s="11">
        <v>51225.322</v>
      </c>
      <c r="D38">
        <v>5.0000000000000001E-3</v>
      </c>
      <c r="E38">
        <f t="shared" si="0"/>
        <v>4259.0044343121717</v>
      </c>
      <c r="F38">
        <f t="shared" si="1"/>
        <v>4259</v>
      </c>
      <c r="G38">
        <f t="shared" si="2"/>
        <v>9.1749907805933617E-3</v>
      </c>
      <c r="I38">
        <f t="shared" si="5"/>
        <v>9.1749907805933617E-3</v>
      </c>
      <c r="O38">
        <f t="shared" si="3"/>
        <v>-5.1423325457780117E-3</v>
      </c>
      <c r="Q38" s="2">
        <f t="shared" si="4"/>
        <v>36206.822</v>
      </c>
      <c r="AA38" t="s">
        <v>32</v>
      </c>
      <c r="AB38">
        <v>7</v>
      </c>
      <c r="AE38" t="s">
        <v>34</v>
      </c>
    </row>
    <row r="39" spans="1:31">
      <c r="A39" s="12" t="s">
        <v>50</v>
      </c>
      <c r="B39" s="6" t="s">
        <v>51</v>
      </c>
      <c r="C39" s="13">
        <v>52940.582000000002</v>
      </c>
      <c r="D39" s="14">
        <v>3.0000000000000001E-3</v>
      </c>
      <c r="E39">
        <f t="shared" si="0"/>
        <v>5087.9969073353404</v>
      </c>
      <c r="F39">
        <f t="shared" si="1"/>
        <v>5088</v>
      </c>
      <c r="G39">
        <f t="shared" si="2"/>
        <v>-6.3990013877628371E-3</v>
      </c>
      <c r="J39">
        <f>+G39</f>
        <v>-6.3990013877628371E-3</v>
      </c>
      <c r="O39">
        <f t="shared" si="3"/>
        <v>-5.1423325454642279E-3</v>
      </c>
      <c r="Q39" s="2">
        <f t="shared" si="4"/>
        <v>37922.082000000002</v>
      </c>
    </row>
    <row r="40" spans="1:31">
      <c r="D40" s="6"/>
    </row>
    <row r="41" spans="1:31">
      <c r="D41" s="6"/>
    </row>
    <row r="42" spans="1:31">
      <c r="D42" s="6"/>
    </row>
    <row r="43" spans="1:31">
      <c r="D43" s="6"/>
    </row>
    <row r="44" spans="1:31">
      <c r="D44" s="6"/>
    </row>
    <row r="45" spans="1:31">
      <c r="D45" s="6"/>
    </row>
    <row r="46" spans="1:31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2024-01-26T04:46:15Z</dcterms:modified>
</cp:coreProperties>
</file>