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0CF52AE-2AB9-468C-8B85-4E9123C9BF5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Q23" i="1"/>
  <c r="F11" i="1"/>
  <c r="E14" i="1"/>
  <c r="Q22" i="1"/>
  <c r="C21" i="1"/>
  <c r="Q21" i="1"/>
  <c r="A21" i="1"/>
  <c r="G11" i="1"/>
  <c r="C7" i="1"/>
  <c r="C8" i="1"/>
  <c r="C17" i="1"/>
  <c r="R22" i="1"/>
  <c r="E22" i="1"/>
  <c r="F22" i="1"/>
  <c r="G22" i="1"/>
  <c r="I22" i="1"/>
  <c r="E24" i="1"/>
  <c r="F24" i="1"/>
  <c r="G24" i="1"/>
  <c r="I24" i="1"/>
  <c r="E21" i="1"/>
  <c r="F21" i="1"/>
  <c r="G21" i="1"/>
  <c r="E23" i="1"/>
  <c r="F23" i="1"/>
  <c r="G23" i="1"/>
  <c r="H23" i="1"/>
  <c r="H21" i="1"/>
  <c r="C11" i="1"/>
  <c r="C12" i="1"/>
  <c r="C16" i="1" l="1"/>
  <c r="D18" i="1" s="1"/>
  <c r="O21" i="1"/>
  <c r="C15" i="1"/>
  <c r="O22" i="1"/>
  <c r="O23" i="1"/>
  <c r="O24" i="1"/>
  <c r="E15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<sst xmlns="http://schemas.openxmlformats.org/spreadsheetml/2006/main" count="53" uniqueCount="50">
  <si>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</si>
  <si>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</si>
  <si>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</si>
  <si>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</si>
  <si>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</si>
  <si>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</si>
  <si>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</si>
  <si>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</si>
  <si>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</si>
  <si>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</si>
  <si>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</si>
  <si>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</si>
  <si>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</si>
  <si>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</si>
  <si>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</si>
  <si>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</si>
  <si>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</si>
  <si>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</si>
  <si>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</si>
  <si>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</si>
  <si>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</si>
  <si>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</si>
  <si>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</si>
  <si>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</si>
  <si>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</si>
  <si>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</si>
  <si>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</si>
  <si>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</si>
  <si>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</si>
  <si>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</si>
  <si>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</si>
  <si>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</si>
  <si>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</si>
  <si>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</si>
  <si>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</si>
  <si>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</si>
  <si>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G4817-0087_CMi.xls</t>
  </si>
  <si>
    <t>EW</t>
  </si>
  <si>
    <t>IBVS 5458 Eph.</t>
  </si>
  <si>
    <t>IBVS 5458</t>
  </si>
  <si>
    <t>CMi</t>
  </si>
  <si>
    <t>Nelson</t>
  </si>
  <si>
    <t>DS CMi / GSC 4817-0087</t>
  </si>
  <si>
    <t>IBVS 6092</t>
  </si>
  <si>
    <t>Add cycle</t>
  </si>
  <si>
    <t>Old Cycle</t>
  </si>
  <si>
    <t>IBVS 6149</t>
  </si>
  <si>
    <t>RHN 2016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</si>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</sst>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>
      <alignment vertical="top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5" fillId="0" borderId="0" xfId="0" applyFont="1">
      <alignment vertical="top"/>
    </xf>
    <xf numFmtId="0" fontId="0" fillId="0" borderId="0" xfId="0" applyFill="1" applyBorder="1">
      <alignment vertical="top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5" fillId="3" borderId="0" xfId="0" applyFont="1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DS CMi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5765.5</c:v>
                </c:pt>
                <c:pt idx="2">
                  <c:v>6325.5</c:v>
                </c:pt>
                <c:pt idx="3">
                  <c:v>7447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2">
                  <c:v>0.15048499999829801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F5-4FE3-BE1E-15EC922E821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5765.5</c:v>
                </c:pt>
                <c:pt idx="2">
                  <c:v>6325.5</c:v>
                </c:pt>
                <c:pt idx="3">
                  <c:v>7447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0.13788499999645865</c:v>
                </c:pt>
                <c:pt idx="3">
                  <c:v>0.17818999999872176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F5-4FE3-BE1E-15EC922E821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5765.5</c:v>
                </c:pt>
                <c:pt idx="2">
                  <c:v>6325.5</c:v>
                </c:pt>
                <c:pt idx="3">
                  <c:v>7447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F5-4FE3-BE1E-15EC922E821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5765.5</c:v>
                </c:pt>
                <c:pt idx="2">
                  <c:v>6325.5</c:v>
                </c:pt>
                <c:pt idx="3">
                  <c:v>7447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F5-4FE3-BE1E-15EC922E821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5765.5</c:v>
                </c:pt>
                <c:pt idx="2">
                  <c:v>6325.5</c:v>
                </c:pt>
                <c:pt idx="3">
                  <c:v>7447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F5-4FE3-BE1E-15EC922E82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5765.5</c:v>
                </c:pt>
                <c:pt idx="2">
                  <c:v>6325.5</c:v>
                </c:pt>
                <c:pt idx="3">
                  <c:v>7447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F5-4FE3-BE1E-15EC922E82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5765.5</c:v>
                </c:pt>
                <c:pt idx="2">
                  <c:v>6325.5</c:v>
                </c:pt>
                <c:pt idx="3">
                  <c:v>7447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F5-4FE3-BE1E-15EC922E82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5765.5</c:v>
                </c:pt>
                <c:pt idx="2">
                  <c:v>6325.5</c:v>
                </c:pt>
                <c:pt idx="3">
                  <c:v>7447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-4.1991139825697799E-5</c:v>
                </c:pt>
                <c:pt idx="1">
                  <c:v>0.13768551830991635</c:v>
                </c:pt>
                <c:pt idx="2">
                  <c:v>0.15106291927979848</c:v>
                </c:pt>
                <c:pt idx="3">
                  <c:v>0.17785355354358925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F5-4FE3-BE1E-15EC922E8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563072"/>
        <c:axId val="1"/>
      </c:scatterChart>
      <c:valAx>
        <c:axId val="546563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563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0</xdr:row>
      <xdr:rowOff>1</xdr:rowOff>
    </xdr:from>
    <xdr:to>
      <xdr:col>18</xdr:col>
      <xdr:colOff>142875</xdr:colOff>
      <xdr:row>18</xdr:row>
      <xdr:rowOff>142876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441AE4E-AE66-B83B-F655-0ED906F5A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36</v>
      </c>
      <c r="G1" s="31" t="s">
        <v>37</v>
      </c>
      <c r="H1" s="11" t="s">
        <v>38</v>
      </c>
      <c r="I1" s="32">
        <v>52605.93</v>
      </c>
      <c r="J1" s="32">
        <v>0.64932999999999996</v>
      </c>
      <c r="K1" s="33" t="s">
        <v>39</v>
      </c>
      <c r="L1" s="34" t="s">
        <v>40</v>
      </c>
    </row>
    <row r="2" spans="1:12" x14ac:dyDescent="0.2">
      <c r="A2" t="s">
        <v>22</v>
      </c>
      <c r="B2" t="s">
        <v>37</v>
      </c>
      <c r="C2" s="3"/>
    </row>
    <row r="3" spans="1:12" ht="13.5" thickBot="1" x14ac:dyDescent="0.25"/>
    <row r="4" spans="1:12" ht="14.25" thickTop="1" thickBot="1" x14ac:dyDescent="0.25">
      <c r="A4" s="29" t="s">
        <v>38</v>
      </c>
      <c r="C4" s="8">
        <v>52605.93</v>
      </c>
      <c r="D4" s="9">
        <v>0.64932999999999996</v>
      </c>
    </row>
    <row r="6" spans="1:12" x14ac:dyDescent="0.2">
      <c r="A6" s="5" t="s">
        <v>0</v>
      </c>
    </row>
    <row r="7" spans="1:12" x14ac:dyDescent="0.2">
      <c r="A7" t="s">
        <v>1</v>
      </c>
      <c r="C7">
        <f>+C4</f>
        <v>52605.93</v>
      </c>
    </row>
    <row r="8" spans="1:12" x14ac:dyDescent="0.2">
      <c r="A8" t="s">
        <v>2</v>
      </c>
      <c r="C8">
        <f>+D4</f>
        <v>0.64932999999999996</v>
      </c>
    </row>
    <row r="9" spans="1:12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12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12" x14ac:dyDescent="0.2">
      <c r="A11" s="12" t="s">
        <v>14</v>
      </c>
      <c r="B11" s="12"/>
      <c r="C11" s="24">
        <f ca="1">INTERCEPT(INDIRECT($G$11):G992,INDIRECT($F$11):F992)</f>
        <v>-4.1991139825697799E-5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12" x14ac:dyDescent="0.2">
      <c r="A12" s="12" t="s">
        <v>15</v>
      </c>
      <c r="B12" s="12"/>
      <c r="C12" s="24">
        <f ca="1">SLOPE(INDIRECT($G$11):G992,INDIRECT($F$11):F992)</f>
        <v>2.3888216017646698E-5</v>
      </c>
      <c r="D12" s="3"/>
      <c r="E12" s="12"/>
    </row>
    <row r="13" spans="1:12" x14ac:dyDescent="0.2">
      <c r="A13" s="12" t="s">
        <v>17</v>
      </c>
      <c r="B13" s="12"/>
      <c r="C13" s="3" t="s">
        <v>12</v>
      </c>
      <c r="D13" s="16" t="s">
        <v>44</v>
      </c>
      <c r="E13" s="13">
        <v>1</v>
      </c>
    </row>
    <row r="14" spans="1:12" x14ac:dyDescent="0.2">
      <c r="A14" s="12"/>
      <c r="B14" s="12"/>
      <c r="C14" s="12"/>
      <c r="D14" s="16" t="s">
        <v>31</v>
      </c>
      <c r="E14" s="17">
        <f ca="1">NOW()+15018.5+$C$9/24</f>
        <v>60336.825220254628</v>
      </c>
    </row>
    <row r="15" spans="1:12" x14ac:dyDescent="0.2">
      <c r="A15" s="14" t="s">
        <v>16</v>
      </c>
      <c r="B15" s="12"/>
      <c r="C15" s="15">
        <f ca="1">(C7+C11)+(C8+C12)*INT(MAX(F21:F3533))</f>
        <v>57441.668363553545</v>
      </c>
      <c r="D15" s="16" t="s">
        <v>45</v>
      </c>
      <c r="E15" s="17">
        <f ca="1">ROUND(2*(E14-$C$7)/$C$8,0)/2+E13</f>
        <v>11907</v>
      </c>
    </row>
    <row r="16" spans="1:12" x14ac:dyDescent="0.2">
      <c r="A16" s="18" t="s">
        <v>3</v>
      </c>
      <c r="B16" s="12"/>
      <c r="C16" s="19">
        <f ca="1">+C8+C12</f>
        <v>0.64935388821601758</v>
      </c>
      <c r="D16" s="16" t="s">
        <v>32</v>
      </c>
      <c r="E16" s="26">
        <f ca="1">ROUND(2*(E14-$C$15)/$C$16,0)/2+E13</f>
        <v>4459.5</v>
      </c>
    </row>
    <row r="17" spans="1:18" ht="13.5" thickBot="1" x14ac:dyDescent="0.25">
      <c r="A17" s="16" t="s">
        <v>28</v>
      </c>
      <c r="B17" s="12"/>
      <c r="C17" s="12">
        <f>COUNT(C21:C2191)</f>
        <v>4</v>
      </c>
      <c r="D17" s="16" t="s">
        <v>33</v>
      </c>
      <c r="E17" s="20">
        <f ca="1">+$C$15+$C$16*E16-15018.5-$C$9/24</f>
        <v>45319.357861386212</v>
      </c>
    </row>
    <row r="18" spans="1:18" ht="14.25" thickTop="1" thickBot="1" x14ac:dyDescent="0.25">
      <c r="A18" s="18" t="s">
        <v>4</v>
      </c>
      <c r="B18" s="12"/>
      <c r="C18" s="21">
        <f ca="1">+C15</f>
        <v>57441.668363553545</v>
      </c>
      <c r="D18" s="22">
        <f ca="1">+C16</f>
        <v>0.64935388821601758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27</v>
      </c>
      <c r="I20" s="7" t="s">
        <v>41</v>
      </c>
      <c r="J20" s="7" t="s">
        <v>49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8" x14ac:dyDescent="0.2">
      <c r="A21" t="str">
        <f>$K$1</f>
        <v>IBVS 5458</v>
      </c>
      <c r="C21" s="10">
        <f>+$C$4</f>
        <v>52605.93</v>
      </c>
      <c r="D21" s="10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-4.1991139825697799E-5</v>
      </c>
      <c r="Q21" s="2">
        <f>+C21-15018.5</f>
        <v>37587.43</v>
      </c>
    </row>
    <row r="22" spans="1:18" x14ac:dyDescent="0.2">
      <c r="A22" s="5" t="s">
        <v>43</v>
      </c>
      <c r="C22" s="10">
        <v>56349.78</v>
      </c>
      <c r="D22" s="10">
        <v>1E-3</v>
      </c>
      <c r="E22">
        <f>+(C22-C$7)/C$8</f>
        <v>5765.7123496527174</v>
      </c>
      <c r="F22">
        <f>ROUND(2*E22,0)/2</f>
        <v>5765.5</v>
      </c>
      <c r="G22">
        <f>+C22-(C$7+F22*C$8)</f>
        <v>0.13788499999645865</v>
      </c>
      <c r="I22">
        <f>+G22</f>
        <v>0.13788499999645865</v>
      </c>
      <c r="O22">
        <f ca="1">+C$11+C$12*$F22</f>
        <v>0.13768551830991635</v>
      </c>
      <c r="Q22" s="2">
        <f>+C22-15018.5</f>
        <v>41331.279999999999</v>
      </c>
      <c r="R22" t="str">
        <f>IF(ABS(C22-C21)&lt;0.00001,1,"")</f>
        <v/>
      </c>
    </row>
    <row r="23" spans="1:18" x14ac:dyDescent="0.2">
      <c r="A23" s="35" t="s">
        <v>46</v>
      </c>
      <c r="B23" s="36" t="s">
        <v>48</v>
      </c>
      <c r="C23" s="35">
        <v>56713.417399999998</v>
      </c>
      <c r="D23" s="35">
        <v>1.6000000000000001E-3</v>
      </c>
      <c r="E23">
        <f>+(C23-C$7)/C$8</f>
        <v>6325.7317542697829</v>
      </c>
      <c r="F23">
        <f>ROUND(2*E23,0)/2</f>
        <v>6325.5</v>
      </c>
      <c r="G23">
        <f>+C23-(C$7+F23*C$8)</f>
        <v>0.15048499999829801</v>
      </c>
      <c r="H23">
        <f>+G23</f>
        <v>0.15048499999829801</v>
      </c>
      <c r="O23">
        <f ca="1">+C$11+C$12*$F23</f>
        <v>0.15106291927979848</v>
      </c>
      <c r="Q23" s="2">
        <f>+C23-15018.5</f>
        <v>41694.917399999998</v>
      </c>
    </row>
    <row r="24" spans="1:18" x14ac:dyDescent="0.2">
      <c r="A24" s="5" t="s">
        <v>47</v>
      </c>
      <c r="C24" s="10">
        <v>57441.668700000002</v>
      </c>
      <c r="D24" s="10">
        <v>5.0000000000000001E-4</v>
      </c>
      <c r="E24">
        <f>+(C24-C$7)/C$8</f>
        <v>7447.2744213266014</v>
      </c>
      <c r="F24" s="37">
        <f>ROUND(2*E24,0)/2-0.5</f>
        <v>7447</v>
      </c>
      <c r="G24">
        <f>+C24-(C$7+F24*C$8)</f>
        <v>0.17818999999872176</v>
      </c>
      <c r="I24">
        <f>+G24</f>
        <v>0.17818999999872176</v>
      </c>
      <c r="O24">
        <f ca="1">+C$11+C$12*$F24</f>
        <v>0.17785355354358925</v>
      </c>
      <c r="Q24" s="2">
        <f>+C24-15018.5</f>
        <v>42423.168700000002</v>
      </c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2024-01-27T06:48:19Z</dcterms:modified>
</cp:coreProperties>
</file>