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B71B623-74E0-4AE1-9111-96793EFC6CC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F16" i="1"/>
  <c r="F17" i="1" s="1"/>
  <c r="D9" i="1"/>
  <c r="C9" i="1"/>
  <c r="Q25" i="1"/>
  <c r="Q26" i="1"/>
  <c r="Q24" i="1"/>
  <c r="Q23" i="1"/>
  <c r="Q22" i="1"/>
  <c r="C21" i="1"/>
  <c r="E21" i="1"/>
  <c r="F21" i="1"/>
  <c r="G21" i="1"/>
  <c r="I21" i="1"/>
  <c r="A21" i="1"/>
  <c r="C7" i="1"/>
  <c r="E22" i="1"/>
  <c r="F22" i="1"/>
  <c r="C8" i="1"/>
  <c r="Q21" i="1"/>
  <c r="E26" i="1"/>
  <c r="F26" i="1"/>
  <c r="G26" i="1"/>
  <c r="I26" i="1"/>
  <c r="G22" i="1"/>
  <c r="C17" i="1"/>
  <c r="E25" i="1"/>
  <c r="F25" i="1"/>
  <c r="G25" i="1"/>
  <c r="K25" i="1"/>
  <c r="E23" i="1"/>
  <c r="F23" i="1"/>
  <c r="G23" i="1"/>
  <c r="K23" i="1"/>
  <c r="G24" i="1"/>
  <c r="J24" i="1"/>
  <c r="K22" i="1"/>
  <c r="C11" i="1"/>
  <c r="C12" i="1"/>
  <c r="C16" i="1" l="1"/>
  <c r="D18" i="1" s="1"/>
  <c r="O26" i="1"/>
  <c r="O24" i="1"/>
  <c r="O22" i="1"/>
  <c r="O21" i="1"/>
  <c r="O25" i="1"/>
  <c r="C15" i="1"/>
  <c r="O23" i="1"/>
  <c r="C18" i="1" l="1"/>
  <c r="F18" i="1"/>
  <c r="F19" i="1" s="1"/>
</calcChain>
</file>

<file path=xl/sharedStrings.xml><?xml version="1.0" encoding="utf-8"?>
<sst xmlns="http://schemas.openxmlformats.org/spreadsheetml/2006/main" count="65" uniqueCount="51">
  <si>
    <t>Add cycle</t>
  </si>
  <si>
    <t>Old Cycle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</si>
  <si>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</si>
  <si>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</si>
  <si>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</si>
  <si>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</si>
  <si>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</si>
  <si>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</si>
  <si>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</si>
  <si>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</si>
  <si>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</si>
  <si>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</si>
  <si>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</si>
  <si>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</si>
  <si>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</si>
  <si>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</si>
  <si>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</si>
  <si>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</si>
  <si>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</si>
  <si>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</si>
  <si>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</si>
  <si>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</si>
  <si>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</si>
  <si>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</si>
  <si>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</si>
  <si>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</si>
  <si>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</si>
  <si>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</si>
  <si>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</si>
  <si>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</si>
  <si>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</si>
  <si>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</si>
  <si>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</si>
  <si>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</si>
  <si>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</si>
  <si>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</si>
  <si>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</si>
  <si>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</si>
  <si>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G0181-1576_CMi.xls</t>
  </si>
  <si>
    <t>EW</t>
  </si>
  <si>
    <t>IBVS 5458 Eph.</t>
  </si>
  <si>
    <t>IBVS 5458</t>
  </si>
  <si>
    <t>CMi</t>
  </si>
  <si>
    <t>IBVS 5992</t>
  </si>
  <si>
    <t>I</t>
  </si>
  <si>
    <t>EI CMi / GSC 0181-1576</t>
  </si>
  <si>
    <t>IBVS 6029</t>
  </si>
  <si>
    <t>IBVS 6149</t>
  </si>
  <si>
    <t>OEJV 0172</t>
  </si>
  <si>
    <t>vis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</si>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</sst>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>
      <alignment vertical="top"/>
    </xf>
    <xf numFmtId="0" fontId="0" fillId="0" borderId="5" xfId="0" applyBorder="1" applyAlignment="1">
      <alignment horizontal="center"/>
    </xf>
    <xf numFmtId="0" fontId="0" fillId="24" borderId="5" xfId="0" applyFill="1" applyBorder="1" applyAlignment="1">
      <alignment horizontal="left"/>
    </xf>
    <xf numFmtId="0" fontId="5" fillId="0" borderId="0" xfId="0" applyFont="1">
      <alignment vertical="top"/>
    </xf>
    <xf numFmtId="0" fontId="0" fillId="0" borderId="0" xfId="0" applyFill="1" applyBorder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25" borderId="0" xfId="0" applyFont="1" applyFill="1" applyAlignment="1"/>
    <xf numFmtId="0" fontId="8" fillId="26" borderId="0" xfId="0" applyFont="1" applyFill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7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172" fontId="5" fillId="0" borderId="0" xfId="0" applyNumberFormat="1" applyFont="1" applyFill="1" applyBorder="1" applyAlignment="1" applyProtection="1">
      <alignment horizontal="left" vertical="top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 CMi - O-C Diagr.</a:t>
            </a:r>
          </a:p>
        </c:rich>
      </c:tx>
      <c:layout>
        <c:manualLayout>
          <c:xMode val="edge"/>
          <c:yMode val="edge"/>
          <c:x val="0.4005563282336578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1974965229486"/>
          <c:y val="0.14035127795846455"/>
          <c:w val="0.8386648122392211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8757</c:v>
                </c:pt>
                <c:pt idx="2">
                  <c:v>9929</c:v>
                </c:pt>
                <c:pt idx="3">
                  <c:v>11961.5</c:v>
                </c:pt>
                <c:pt idx="4">
                  <c:v>12629.5</c:v>
                </c:pt>
                <c:pt idx="5">
                  <c:v>12753.5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4B-4C30-AB73-B7E17C1669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8757</c:v>
                </c:pt>
                <c:pt idx="2">
                  <c:v>9929</c:v>
                </c:pt>
                <c:pt idx="3">
                  <c:v>11961.5</c:v>
                </c:pt>
                <c:pt idx="4">
                  <c:v>12629.5</c:v>
                </c:pt>
                <c:pt idx="5">
                  <c:v>12753.5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5">
                  <c:v>-0.4543550000016694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4B-4C30-AB73-B7E17C1669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8757</c:v>
                </c:pt>
                <c:pt idx="2">
                  <c:v>9929</c:v>
                </c:pt>
                <c:pt idx="3">
                  <c:v>11961.5</c:v>
                </c:pt>
                <c:pt idx="4">
                  <c:v>12629.5</c:v>
                </c:pt>
                <c:pt idx="5">
                  <c:v>12753.5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-0.45839499999419786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4B-4C30-AB73-B7E17C1669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8757</c:v>
                </c:pt>
                <c:pt idx="2">
                  <c:v>9929</c:v>
                </c:pt>
                <c:pt idx="3">
                  <c:v>11961.5</c:v>
                </c:pt>
                <c:pt idx="4">
                  <c:v>12629.5</c:v>
                </c:pt>
                <c:pt idx="5">
                  <c:v>12753.5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-0.30040999999619089</c:v>
                </c:pt>
                <c:pt idx="2">
                  <c:v>-0.34856999999465188</c:v>
                </c:pt>
                <c:pt idx="4">
                  <c:v>-0.45591499999136431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4B-4C30-AB73-B7E17C1669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8757</c:v>
                </c:pt>
                <c:pt idx="2">
                  <c:v>9929</c:v>
                </c:pt>
                <c:pt idx="3">
                  <c:v>11961.5</c:v>
                </c:pt>
                <c:pt idx="4">
                  <c:v>12629.5</c:v>
                </c:pt>
                <c:pt idx="5">
                  <c:v>12753.5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4B-4C30-AB73-B7E17C1669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8757</c:v>
                </c:pt>
                <c:pt idx="2">
                  <c:v>9929</c:v>
                </c:pt>
                <c:pt idx="3">
                  <c:v>11961.5</c:v>
                </c:pt>
                <c:pt idx="4">
                  <c:v>12629.5</c:v>
                </c:pt>
                <c:pt idx="5">
                  <c:v>12753.5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4B-4C30-AB73-B7E17C1669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1.6999999999999999E-3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8757</c:v>
                </c:pt>
                <c:pt idx="2">
                  <c:v>9929</c:v>
                </c:pt>
                <c:pt idx="3">
                  <c:v>11961.5</c:v>
                </c:pt>
                <c:pt idx="4">
                  <c:v>12629.5</c:v>
                </c:pt>
                <c:pt idx="5">
                  <c:v>12753.5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4B-4C30-AB73-B7E17C1669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8757</c:v>
                </c:pt>
                <c:pt idx="2">
                  <c:v>9929</c:v>
                </c:pt>
                <c:pt idx="3">
                  <c:v>11961.5</c:v>
                </c:pt>
                <c:pt idx="4">
                  <c:v>12629.5</c:v>
                </c:pt>
                <c:pt idx="5">
                  <c:v>12753.5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5.5892753415478225E-2</c:v>
                </c:pt>
                <c:pt idx="1">
                  <c:v>-0.30312209515993538</c:v>
                </c:pt>
                <c:pt idx="2">
                  <c:v>-0.35117113050655918</c:v>
                </c:pt>
                <c:pt idx="3">
                  <c:v>-0.43449848916015377</c:v>
                </c:pt>
                <c:pt idx="4">
                  <c:v>-0.46188479940891208</c:v>
                </c:pt>
                <c:pt idx="5">
                  <c:v>-0.46696848574251387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4B-4C30-AB73-B7E17C166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561632"/>
        <c:axId val="1"/>
      </c:scatterChart>
      <c:valAx>
        <c:axId val="546561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668984700973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6561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981919332406118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18</xdr:col>
      <xdr:colOff>28575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A3B7AB-1160-C47F-46BA-4E1C3E34A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45</v>
      </c>
      <c r="E1" s="29"/>
      <c r="F1" s="29" t="s">
        <v>38</v>
      </c>
      <c r="G1" s="30" t="s">
        <v>39</v>
      </c>
      <c r="H1" s="10" t="s">
        <v>40</v>
      </c>
      <c r="I1" s="31">
        <v>52390.49</v>
      </c>
      <c r="J1" s="31">
        <v>0.36253000000000002</v>
      </c>
      <c r="K1" s="32" t="s">
        <v>41</v>
      </c>
      <c r="L1" s="33" t="s">
        <v>42</v>
      </c>
    </row>
    <row r="2" spans="1:12" x14ac:dyDescent="0.2">
      <c r="A2" t="s">
        <v>27</v>
      </c>
      <c r="B2" t="s">
        <v>39</v>
      </c>
      <c r="C2" s="9" t="s">
        <v>42</v>
      </c>
      <c r="D2" t="s">
        <v>38</v>
      </c>
    </row>
    <row r="3" spans="1:12" ht="13.5" thickBot="1" x14ac:dyDescent="0.25"/>
    <row r="4" spans="1:12" ht="14.25" thickTop="1" thickBot="1" x14ac:dyDescent="0.25">
      <c r="A4" s="28" t="s">
        <v>40</v>
      </c>
      <c r="C4" s="7">
        <v>52390.49</v>
      </c>
      <c r="D4" s="8">
        <v>0.36253000000000002</v>
      </c>
    </row>
    <row r="5" spans="1:12" ht="13.5" thickTop="1" x14ac:dyDescent="0.2">
      <c r="A5" s="10" t="s">
        <v>32</v>
      </c>
      <c r="B5" s="11"/>
      <c r="C5" s="12">
        <v>-9.5</v>
      </c>
      <c r="D5" s="11" t="s">
        <v>33</v>
      </c>
    </row>
    <row r="6" spans="1:12" x14ac:dyDescent="0.2">
      <c r="A6" s="4" t="s">
        <v>5</v>
      </c>
    </row>
    <row r="7" spans="1:12" x14ac:dyDescent="0.2">
      <c r="A7" t="s">
        <v>6</v>
      </c>
      <c r="C7">
        <f>+C4</f>
        <v>52390.49</v>
      </c>
    </row>
    <row r="8" spans="1:12" x14ac:dyDescent="0.2">
      <c r="A8" t="s">
        <v>7</v>
      </c>
      <c r="C8">
        <f>+D4</f>
        <v>0.36253000000000002</v>
      </c>
    </row>
    <row r="9" spans="1:12" x14ac:dyDescent="0.2">
      <c r="A9" s="26" t="s">
        <v>37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12" ht="13.5" thickBot="1" x14ac:dyDescent="0.25">
      <c r="A10" s="11"/>
      <c r="B10" s="11"/>
      <c r="C10" s="3" t="s">
        <v>23</v>
      </c>
      <c r="D10" s="3" t="s">
        <v>24</v>
      </c>
      <c r="E10" s="11"/>
    </row>
    <row r="11" spans="1:12" x14ac:dyDescent="0.2">
      <c r="A11" s="11" t="s">
        <v>19</v>
      </c>
      <c r="B11" s="11"/>
      <c r="C11" s="23">
        <f ca="1">INTERCEPT(INDIRECT($D$9):G992,INDIRECT($C$9):F992)</f>
        <v>5.5892753415478225E-2</v>
      </c>
      <c r="D11" s="13"/>
      <c r="E11" s="11"/>
    </row>
    <row r="12" spans="1:12" x14ac:dyDescent="0.2">
      <c r="A12" s="11" t="s">
        <v>20</v>
      </c>
      <c r="B12" s="11"/>
      <c r="C12" s="23">
        <f ca="1">SLOPE(INDIRECT($D$9):G992,INDIRECT($C$9):F992)</f>
        <v>-4.0997470432272876E-5</v>
      </c>
      <c r="D12" s="13"/>
      <c r="E12" s="11"/>
    </row>
    <row r="13" spans="1:12" x14ac:dyDescent="0.2">
      <c r="A13" s="11" t="s">
        <v>22</v>
      </c>
      <c r="B13" s="11"/>
      <c r="C13" s="13" t="s">
        <v>17</v>
      </c>
    </row>
    <row r="14" spans="1:12" x14ac:dyDescent="0.2">
      <c r="A14" s="11"/>
      <c r="B14" s="11"/>
      <c r="C14" s="11"/>
    </row>
    <row r="15" spans="1:12" x14ac:dyDescent="0.2">
      <c r="A15" s="14" t="s">
        <v>21</v>
      </c>
      <c r="B15" s="11"/>
      <c r="C15" s="15">
        <f ca="1">(C7+C11)+(C8+C12)*INT(MAX(F21:F3533))</f>
        <v>57013.368142012987</v>
      </c>
      <c r="E15" s="16" t="s">
        <v>0</v>
      </c>
      <c r="F15" s="12">
        <v>1</v>
      </c>
    </row>
    <row r="16" spans="1:12" x14ac:dyDescent="0.2">
      <c r="A16" s="18" t="s">
        <v>8</v>
      </c>
      <c r="B16" s="11"/>
      <c r="C16" s="19">
        <f ca="1">+C8+C12</f>
        <v>0.36248900252956773</v>
      </c>
      <c r="E16" s="16" t="s">
        <v>34</v>
      </c>
      <c r="F16" s="17">
        <f ca="1">NOW()+15018.5+$C$5/24</f>
        <v>60336.828192361107</v>
      </c>
    </row>
    <row r="17" spans="1:18" ht="13.5" thickBot="1" x14ac:dyDescent="0.25">
      <c r="A17" s="16" t="s">
        <v>31</v>
      </c>
      <c r="B17" s="11"/>
      <c r="C17" s="11">
        <f>COUNT(C21:C2191)</f>
        <v>6</v>
      </c>
      <c r="E17" s="16" t="s">
        <v>1</v>
      </c>
      <c r="F17" s="17">
        <f ca="1">ROUND(2*(F16-$C$7)/$C$8,0)/2+F15</f>
        <v>21920</v>
      </c>
    </row>
    <row r="18" spans="1:18" ht="14.25" thickTop="1" thickBot="1" x14ac:dyDescent="0.25">
      <c r="A18" s="18" t="s">
        <v>9</v>
      </c>
      <c r="B18" s="11"/>
      <c r="C18" s="21">
        <f ca="1">+C15</f>
        <v>57013.368142012987</v>
      </c>
      <c r="D18" s="22">
        <f ca="1">+C16</f>
        <v>0.36248900252956773</v>
      </c>
      <c r="E18" s="16" t="s">
        <v>35</v>
      </c>
      <c r="F18" s="25">
        <f ca="1">ROUND(2*(F16-$C$15)/$C$16,0)/2+F15</f>
        <v>9169.5</v>
      </c>
    </row>
    <row r="19" spans="1:18" ht="13.5" thickTop="1" x14ac:dyDescent="0.2">
      <c r="E19" s="16" t="s">
        <v>36</v>
      </c>
      <c r="F19" s="20">
        <f ca="1">+$C$15+$C$16*F18-15018.5-$C$5/24</f>
        <v>45319.106884041197</v>
      </c>
    </row>
    <row r="20" spans="1:18" ht="13.5" thickBot="1" x14ac:dyDescent="0.25">
      <c r="A20" s="3" t="s">
        <v>10</v>
      </c>
      <c r="B20" s="3" t="s">
        <v>11</v>
      </c>
      <c r="C20" s="3" t="s">
        <v>12</v>
      </c>
      <c r="D20" s="3" t="s">
        <v>16</v>
      </c>
      <c r="E20" s="3" t="s">
        <v>13</v>
      </c>
      <c r="F20" s="3" t="s">
        <v>14</v>
      </c>
      <c r="G20" s="3" t="s">
        <v>15</v>
      </c>
      <c r="H20" s="6" t="s">
        <v>4</v>
      </c>
      <c r="I20" s="6" t="s">
        <v>49</v>
      </c>
      <c r="J20" s="6" t="s">
        <v>2</v>
      </c>
      <c r="K20" s="6" t="s">
        <v>3</v>
      </c>
      <c r="L20" s="6" t="s">
        <v>28</v>
      </c>
      <c r="M20" s="6" t="s">
        <v>29</v>
      </c>
      <c r="N20" s="6" t="s">
        <v>30</v>
      </c>
      <c r="O20" s="6" t="s">
        <v>26</v>
      </c>
      <c r="P20" s="5" t="s">
        <v>25</v>
      </c>
      <c r="Q20" s="3" t="s">
        <v>18</v>
      </c>
    </row>
    <row r="21" spans="1:18" x14ac:dyDescent="0.2">
      <c r="A21" t="str">
        <f>$K$1</f>
        <v>IBVS 5458</v>
      </c>
      <c r="C21" s="9">
        <f>+$C$4</f>
        <v>52390.49</v>
      </c>
      <c r="D21" s="9" t="s">
        <v>17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I21">
        <f>+G21</f>
        <v>0</v>
      </c>
      <c r="O21">
        <f t="shared" ref="O21:O26" ca="1" si="2">+C$11+C$12*$F21</f>
        <v>5.5892753415478225E-2</v>
      </c>
      <c r="Q21" s="2">
        <f t="shared" ref="Q21:Q26" si="3">+C21-15018.5</f>
        <v>37371.99</v>
      </c>
    </row>
    <row r="22" spans="1:18" x14ac:dyDescent="0.2">
      <c r="A22" s="34" t="s">
        <v>43</v>
      </c>
      <c r="B22" s="35" t="s">
        <v>44</v>
      </c>
      <c r="C22" s="34">
        <v>55564.864800000003</v>
      </c>
      <c r="D22" s="34">
        <v>2.9999999999999997E-4</v>
      </c>
      <c r="E22">
        <f t="shared" si="0"/>
        <v>8756.1713513364539</v>
      </c>
      <c r="F22" s="36">
        <f>ROUND(2*E22,0)/2+1</f>
        <v>8757</v>
      </c>
      <c r="G22">
        <f t="shared" si="1"/>
        <v>-0.30040999999619089</v>
      </c>
      <c r="K22">
        <f>+G22</f>
        <v>-0.30040999999619089</v>
      </c>
      <c r="O22">
        <f t="shared" ca="1" si="2"/>
        <v>-0.30312209515993538</v>
      </c>
      <c r="Q22" s="2">
        <f t="shared" si="3"/>
        <v>40546.364800000003</v>
      </c>
      <c r="R22" t="s">
        <v>3</v>
      </c>
    </row>
    <row r="23" spans="1:18" x14ac:dyDescent="0.2">
      <c r="A23" s="38" t="s">
        <v>46</v>
      </c>
      <c r="B23" s="39" t="s">
        <v>44</v>
      </c>
      <c r="C23" s="38">
        <v>55989.701800000003</v>
      </c>
      <c r="D23" s="38">
        <v>2.9999999999999997E-4</v>
      </c>
      <c r="E23">
        <f t="shared" si="0"/>
        <v>9928.0385071580404</v>
      </c>
      <c r="F23" s="36">
        <f>ROUND(2*E23,0)/2+1</f>
        <v>9929</v>
      </c>
      <c r="G23">
        <f t="shared" si="1"/>
        <v>-0.34856999999465188</v>
      </c>
      <c r="K23">
        <f>+G23</f>
        <v>-0.34856999999465188</v>
      </c>
      <c r="O23">
        <f t="shared" ca="1" si="2"/>
        <v>-0.35117113050655918</v>
      </c>
      <c r="Q23" s="2">
        <f t="shared" si="3"/>
        <v>40971.201800000003</v>
      </c>
      <c r="R23" t="s">
        <v>3</v>
      </c>
    </row>
    <row r="24" spans="1:18" x14ac:dyDescent="0.2">
      <c r="A24" s="40" t="s">
        <v>47</v>
      </c>
      <c r="B24" s="41" t="s">
        <v>44</v>
      </c>
      <c r="C24" s="40">
        <v>56726.434200000003</v>
      </c>
      <c r="D24" s="40">
        <v>1.6999999999999999E-3</v>
      </c>
      <c r="E24">
        <f t="shared" si="0"/>
        <v>11960.235566711735</v>
      </c>
      <c r="F24" s="37">
        <f>ROUND(2*E24,0)/2+1.5</f>
        <v>11961.5</v>
      </c>
      <c r="G24">
        <f t="shared" si="1"/>
        <v>-0.45839499999419786</v>
      </c>
      <c r="J24">
        <f>+G24</f>
        <v>-0.45839499999419786</v>
      </c>
      <c r="O24">
        <f t="shared" ca="1" si="2"/>
        <v>-0.43449848916015377</v>
      </c>
      <c r="Q24" s="2">
        <f t="shared" si="3"/>
        <v>41707.934200000003</v>
      </c>
      <c r="R24" t="s">
        <v>2</v>
      </c>
    </row>
    <row r="25" spans="1:18" x14ac:dyDescent="0.2">
      <c r="A25" s="45" t="s">
        <v>50</v>
      </c>
      <c r="B25" s="46" t="s">
        <v>44</v>
      </c>
      <c r="C25" s="47">
        <v>56968.606720000003</v>
      </c>
      <c r="D25" s="47">
        <v>2.0000000000000001E-4</v>
      </c>
      <c r="E25">
        <f t="shared" si="0"/>
        <v>12628.242407524909</v>
      </c>
      <c r="F25" s="37">
        <f>ROUND(2*E25,0)/2+1.5</f>
        <v>12629.5</v>
      </c>
      <c r="G25">
        <f t="shared" si="1"/>
        <v>-0.45591499999136431</v>
      </c>
      <c r="K25">
        <f>+G25</f>
        <v>-0.45591499999136431</v>
      </c>
      <c r="O25">
        <f t="shared" ca="1" si="2"/>
        <v>-0.46188479940891208</v>
      </c>
      <c r="Q25" s="2">
        <f t="shared" si="3"/>
        <v>41950.106720000003</v>
      </c>
      <c r="R25" t="s">
        <v>3</v>
      </c>
    </row>
    <row r="26" spans="1:18" x14ac:dyDescent="0.2">
      <c r="A26" s="42" t="s">
        <v>48</v>
      </c>
      <c r="B26" s="43" t="s">
        <v>44</v>
      </c>
      <c r="C26" s="44">
        <v>57013.561999999998</v>
      </c>
      <c r="D26" s="44">
        <v>2E-3</v>
      </c>
      <c r="E26">
        <f t="shared" si="0"/>
        <v>12752.246710617052</v>
      </c>
      <c r="F26" s="37">
        <f>ROUND(2*E26,0)/2+1.5</f>
        <v>12753.5</v>
      </c>
      <c r="G26">
        <f t="shared" si="1"/>
        <v>-0.4543550000016694</v>
      </c>
      <c r="I26">
        <f>+G26</f>
        <v>-0.4543550000016694</v>
      </c>
      <c r="O26">
        <f t="shared" ca="1" si="2"/>
        <v>-0.46696848574251387</v>
      </c>
      <c r="Q26" s="2">
        <f t="shared" si="3"/>
        <v>41995.061999999998</v>
      </c>
      <c r="R26" t="s">
        <v>49</v>
      </c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hyperlinks>
    <hyperlink ref="H1611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2024-01-27T06:52:35Z</dcterms:modified>
</cp:coreProperties>
</file>