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875C659-2F94-48F5-89EF-40F88DAE00C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Q47" i="2" l="1"/>
  <c r="D9" i="2"/>
  <c r="C9" i="2"/>
  <c r="Q29" i="2"/>
  <c r="G29" i="3"/>
  <c r="C29" i="3"/>
  <c r="G31" i="3"/>
  <c r="C31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30" i="3"/>
  <c r="C30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29" i="3"/>
  <c r="B29" i="3"/>
  <c r="D29" i="3"/>
  <c r="A29" i="3"/>
  <c r="H31" i="3"/>
  <c r="B31" i="3"/>
  <c r="D31" i="3"/>
  <c r="A31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30" i="3"/>
  <c r="B30" i="3"/>
  <c r="D30" i="3"/>
  <c r="A30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Q43" i="2"/>
  <c r="Q48" i="2"/>
  <c r="F16" i="2"/>
  <c r="C17" i="2"/>
  <c r="C7" i="2"/>
  <c r="E47" i="2"/>
  <c r="F47" i="2"/>
  <c r="C8" i="2"/>
  <c r="Q44" i="2"/>
  <c r="Q45" i="2"/>
  <c r="Q46" i="2"/>
  <c r="Q21" i="2"/>
  <c r="Q22" i="2"/>
  <c r="Q23" i="2"/>
  <c r="Q24" i="2"/>
  <c r="Q25" i="2"/>
  <c r="Q26" i="2"/>
  <c r="Q28" i="2"/>
  <c r="Q27" i="2"/>
  <c r="Q30" i="2"/>
  <c r="Q31" i="2"/>
  <c r="Q33" i="2"/>
  <c r="Q32" i="2"/>
  <c r="Q34" i="2"/>
  <c r="Q36" i="2"/>
  <c r="Q35" i="2"/>
  <c r="Q37" i="2"/>
  <c r="Q39" i="2"/>
  <c r="Q38" i="2"/>
  <c r="Q41" i="2"/>
  <c r="Q42" i="2"/>
  <c r="Q40" i="2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E29" i="1"/>
  <c r="F29" i="1"/>
  <c r="E33" i="1"/>
  <c r="F33" i="1"/>
  <c r="E37" i="1"/>
  <c r="F37" i="1"/>
  <c r="E41" i="1"/>
  <c r="F41" i="1"/>
  <c r="Q27" i="1"/>
  <c r="E22" i="1"/>
  <c r="F22" i="1"/>
  <c r="E24" i="1"/>
  <c r="F24" i="1"/>
  <c r="E25" i="1"/>
  <c r="F25" i="1"/>
  <c r="E27" i="1"/>
  <c r="F27" i="1"/>
  <c r="G27" i="1"/>
  <c r="J27" i="1"/>
  <c r="Q22" i="1"/>
  <c r="Q23" i="1"/>
  <c r="Q24" i="1"/>
  <c r="Q25" i="1"/>
  <c r="Q26" i="1"/>
  <c r="C7" i="1"/>
  <c r="C8" i="1"/>
  <c r="C15" i="1"/>
  <c r="C18" i="1"/>
  <c r="E21" i="1"/>
  <c r="F21" i="1"/>
  <c r="Q21" i="1"/>
  <c r="G26" i="1"/>
  <c r="I26" i="1"/>
  <c r="E22" i="3"/>
  <c r="E31" i="3"/>
  <c r="E29" i="3"/>
  <c r="E12" i="3"/>
  <c r="E18" i="3"/>
  <c r="G41" i="1"/>
  <c r="J41" i="1"/>
  <c r="G33" i="1"/>
  <c r="J33" i="1"/>
  <c r="E41" i="2"/>
  <c r="F41" i="2"/>
  <c r="E33" i="2"/>
  <c r="F33" i="2"/>
  <c r="G26" i="2"/>
  <c r="I26" i="2"/>
  <c r="E24" i="2"/>
  <c r="F24" i="2"/>
  <c r="G25" i="1"/>
  <c r="I25" i="1"/>
  <c r="E23" i="1"/>
  <c r="F23" i="1"/>
  <c r="G23" i="1"/>
  <c r="I23" i="1"/>
  <c r="E40" i="1"/>
  <c r="F40" i="1"/>
  <c r="E36" i="1"/>
  <c r="F36" i="1"/>
  <c r="E32" i="1"/>
  <c r="F32" i="1"/>
  <c r="E28" i="1"/>
  <c r="F28" i="1"/>
  <c r="G40" i="1"/>
  <c r="J40" i="1"/>
  <c r="G32" i="1"/>
  <c r="J32" i="1"/>
  <c r="G24" i="1"/>
  <c r="I24" i="1"/>
  <c r="E46" i="2"/>
  <c r="F46" i="2"/>
  <c r="G46" i="2"/>
  <c r="J46" i="2"/>
  <c r="E38" i="2"/>
  <c r="F38" i="2"/>
  <c r="G38" i="2"/>
  <c r="K38" i="2"/>
  <c r="E30" i="2"/>
  <c r="F30" i="2"/>
  <c r="G47" i="2"/>
  <c r="K47" i="2"/>
  <c r="E43" i="2"/>
  <c r="F43" i="2"/>
  <c r="G43" i="2"/>
  <c r="I43" i="2"/>
  <c r="E35" i="2"/>
  <c r="F35" i="2"/>
  <c r="G35" i="2"/>
  <c r="K35" i="2"/>
  <c r="E26" i="2"/>
  <c r="F26" i="2"/>
  <c r="E39" i="1"/>
  <c r="F39" i="1"/>
  <c r="G39" i="1"/>
  <c r="J39" i="1"/>
  <c r="E35" i="1"/>
  <c r="F35" i="1"/>
  <c r="G35" i="1"/>
  <c r="J35" i="1"/>
  <c r="E31" i="1"/>
  <c r="F31" i="1"/>
  <c r="G31" i="1"/>
  <c r="J31" i="1"/>
  <c r="G22" i="1"/>
  <c r="I22" i="1"/>
  <c r="E21" i="2"/>
  <c r="F21" i="2"/>
  <c r="G42" i="2"/>
  <c r="K42" i="2"/>
  <c r="E40" i="2"/>
  <c r="F40" i="2"/>
  <c r="G40" i="2"/>
  <c r="K40" i="2"/>
  <c r="G34" i="2"/>
  <c r="K34" i="2"/>
  <c r="E32" i="2"/>
  <c r="F32" i="2"/>
  <c r="G32" i="2"/>
  <c r="K32" i="2"/>
  <c r="E23" i="2"/>
  <c r="F23" i="2"/>
  <c r="G23" i="2"/>
  <c r="I23" i="2"/>
  <c r="E26" i="1"/>
  <c r="F26" i="1"/>
  <c r="G37" i="1"/>
  <c r="J37" i="1"/>
  <c r="G29" i="1"/>
  <c r="J29" i="1"/>
  <c r="G48" i="2"/>
  <c r="K48" i="2"/>
  <c r="E45" i="2"/>
  <c r="F45" i="2"/>
  <c r="G45" i="2"/>
  <c r="K45" i="2"/>
  <c r="G39" i="2"/>
  <c r="K39" i="2"/>
  <c r="E37" i="2"/>
  <c r="F37" i="2"/>
  <c r="G37" i="2"/>
  <c r="K37" i="2"/>
  <c r="E28" i="2"/>
  <c r="F28" i="2"/>
  <c r="G28" i="2"/>
  <c r="K28" i="2"/>
  <c r="E38" i="1"/>
  <c r="F38" i="1"/>
  <c r="G38" i="1"/>
  <c r="J38" i="1"/>
  <c r="E34" i="1"/>
  <c r="F34" i="1"/>
  <c r="E30" i="1"/>
  <c r="F30" i="1"/>
  <c r="G30" i="1"/>
  <c r="J30" i="1"/>
  <c r="G36" i="1"/>
  <c r="J36" i="1"/>
  <c r="G28" i="1"/>
  <c r="J28" i="1"/>
  <c r="G44" i="2"/>
  <c r="K44" i="2"/>
  <c r="E42" i="2"/>
  <c r="F42" i="2"/>
  <c r="E34" i="2"/>
  <c r="F34" i="2"/>
  <c r="E25" i="2"/>
  <c r="F25" i="2"/>
  <c r="G25" i="2"/>
  <c r="I25" i="2"/>
  <c r="E29" i="2"/>
  <c r="F29" i="2"/>
  <c r="G29" i="2"/>
  <c r="I29" i="2"/>
  <c r="E48" i="2"/>
  <c r="F48" i="2"/>
  <c r="G41" i="2"/>
  <c r="K41" i="2"/>
  <c r="E39" i="2"/>
  <c r="F39" i="2"/>
  <c r="G33" i="2"/>
  <c r="K33" i="2"/>
  <c r="E31" i="2"/>
  <c r="F31" i="2"/>
  <c r="G31" i="2"/>
  <c r="K31" i="2"/>
  <c r="G24" i="2"/>
  <c r="I24" i="2"/>
  <c r="E22" i="2"/>
  <c r="F22" i="2"/>
  <c r="G22" i="2"/>
  <c r="I22" i="2"/>
  <c r="G34" i="1"/>
  <c r="J34" i="1"/>
  <c r="E44" i="2"/>
  <c r="F44" i="2"/>
  <c r="E36" i="2"/>
  <c r="F36" i="2"/>
  <c r="G36" i="2"/>
  <c r="K36" i="2"/>
  <c r="G30" i="2"/>
  <c r="K30" i="2"/>
  <c r="E27" i="2"/>
  <c r="F27" i="2"/>
  <c r="G27" i="2"/>
  <c r="K27" i="2"/>
  <c r="E19" i="3"/>
  <c r="E15" i="3"/>
  <c r="E13" i="3"/>
  <c r="E17" i="3"/>
  <c r="E20" i="3"/>
  <c r="E23" i="3"/>
  <c r="E26" i="3"/>
  <c r="E24" i="3"/>
  <c r="E11" i="3"/>
  <c r="E21" i="3"/>
  <c r="E14" i="3"/>
  <c r="C12" i="1"/>
  <c r="C16" i="1"/>
  <c r="D18" i="1"/>
  <c r="E30" i="3"/>
  <c r="E28" i="3"/>
  <c r="C11" i="1"/>
  <c r="E16" i="3"/>
  <c r="E27" i="3"/>
  <c r="E25" i="3"/>
  <c r="O28" i="1"/>
  <c r="O32" i="1"/>
  <c r="O36" i="1"/>
  <c r="O40" i="1"/>
  <c r="O27" i="1"/>
  <c r="O22" i="1"/>
  <c r="O24" i="1"/>
  <c r="O26" i="1"/>
  <c r="O29" i="1"/>
  <c r="O33" i="1"/>
  <c r="O37" i="1"/>
  <c r="O41" i="1"/>
  <c r="O30" i="1"/>
  <c r="O34" i="1"/>
  <c r="O38" i="1"/>
  <c r="O25" i="1"/>
  <c r="O35" i="1"/>
  <c r="O39" i="1"/>
  <c r="O21" i="1"/>
  <c r="O31" i="1"/>
  <c r="O23" i="1"/>
  <c r="C12" i="2"/>
  <c r="C11" i="2"/>
  <c r="O43" i="2" l="1"/>
  <c r="O32" i="2"/>
  <c r="O25" i="2"/>
  <c r="O44" i="2"/>
  <c r="O42" i="2"/>
  <c r="O34" i="2"/>
  <c r="O23" i="2"/>
  <c r="O45" i="2"/>
  <c r="O21" i="2"/>
  <c r="O48" i="2"/>
  <c r="O40" i="2"/>
  <c r="O46" i="2"/>
  <c r="O39" i="2"/>
  <c r="O35" i="2"/>
  <c r="O27" i="2"/>
  <c r="O31" i="2"/>
  <c r="O26" i="2"/>
  <c r="O33" i="2"/>
  <c r="O29" i="2"/>
  <c r="O36" i="2"/>
  <c r="O47" i="2"/>
  <c r="O30" i="2"/>
  <c r="O28" i="2"/>
  <c r="O37" i="2"/>
  <c r="O22" i="2"/>
  <c r="O41" i="2"/>
  <c r="O24" i="2"/>
  <c r="O38" i="2"/>
  <c r="C15" i="2"/>
  <c r="C16" i="2"/>
  <c r="D18" i="2" s="1"/>
  <c r="F17" i="2"/>
  <c r="C18" i="2" l="1"/>
  <c r="F18" i="2"/>
  <c r="F19" i="2" s="1"/>
</calcChain>
</file>

<file path=xl/sharedStrings.xml><?xml version="1.0" encoding="utf-8"?>
<sst xmlns="http://schemas.openxmlformats.org/spreadsheetml/2006/main" count="364" uniqueCount="159">
  <si>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</si>
  <si>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</si>
  <si>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</si>
  <si>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</si>
  <si>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</si>
  <si>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</si>
  <si>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</si>
  <si>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</si>
  <si>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</si>
  <si>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</si>
  <si>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</si>
  <si>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</si>
  <si>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</si>
  <si>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</si>
  <si>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</si>
  <si>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</si>
  <si>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</si>
  <si>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</si>
  <si>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</si>
  <si>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</si>
  <si>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</si>
  <si>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</si>
  <si>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</si>
  <si>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</si>
  <si>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</si>
  <si>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</si>
  <si>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</si>
  <si>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</si>
  <si>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</si>
  <si>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</si>
  <si>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</t>
  </si>
  <si>
    <t>TU CMi</t>
  </si>
  <si>
    <t>Paschke A</t>
  </si>
  <si>
    <t>BBSAG Bull.101</t>
  </si>
  <si>
    <t>B</t>
  </si>
  <si>
    <t>BBSAG Bull.103</t>
  </si>
  <si>
    <t>BBSAG Bull.106</t>
  </si>
  <si>
    <t>Diethelm R</t>
  </si>
  <si>
    <t>BBSAG Bull.111</t>
  </si>
  <si>
    <t>BBSAG Bull.115</t>
  </si>
  <si>
    <t>IBVS 5287</t>
  </si>
  <si>
    <t>I</t>
  </si>
  <si>
    <t>II</t>
  </si>
  <si>
    <t>IBVS 5583</t>
  </si>
  <si>
    <t>IBVS</t>
  </si>
  <si>
    <t>EW/KW</t>
  </si>
  <si>
    <t># of data points:</t>
  </si>
  <si>
    <t>TU CMi / gsc 0765-1659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</si>
  <si>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</si>
  <si>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</si>
  <si>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</si>
  <si>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</si>
  <si>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</si>
  <si>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</si>
  <si>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</si>
  <si>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Add cycle</t>
  </si>
  <si>
    <t>Old Cycle</t>
  </si>
  <si>
    <t>Start of linear fit &gt;&gt;&gt;&gt;&gt;&gt;&gt;&gt;&gt;&gt;&gt;&gt;&gt;&gt;&gt;&gt;&gt;&gt;&gt;&gt;&gt;</t>
  </si>
  <si>
    <t>IBVS 5438</t>
  </si>
  <si>
    <t>IBVS 5992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</si>
  <si>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</si>
  <si>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</si>
  <si>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</si>
  <si>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</si>
  <si>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</si>
  <si>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</si>
  <si>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</si>
  <si>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</si>
  <si>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</si>
  <si>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</si>
  <si>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</si>
  <si>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2448681.352 </t>
  </si>
  <si>
    <t> 28.02.1992 20:26 </t>
  </si>
  <si>
    <t> -0.018 </t>
  </si>
  <si>
    <t>E </t>
  </si>
  <si>
    <t>?</t>
  </si>
  <si>
    <t> A.Paschke </t>
  </si>
  <si>
    <t> BBS 101 </t>
  </si>
  <si>
    <t>2449065.393 </t>
  </si>
  <si>
    <t> 18.03.1993 21:25 </t>
  </si>
  <si>
    <t> -0.009 </t>
  </si>
  <si>
    <t> BBS 103 </t>
  </si>
  <si>
    <t>2449416.485 </t>
  </si>
  <si>
    <t> 04.03.1994 23:38 </t>
  </si>
  <si>
    <t> -0.006 </t>
  </si>
  <si>
    <t> BBS 106 </t>
  </si>
  <si>
    <t>2450104.368 </t>
  </si>
  <si>
    <t> 21.01.1996 20:49 </t>
  </si>
  <si>
    <t> 0.001 </t>
  </si>
  <si>
    <t> R.Diethelm </t>
  </si>
  <si>
    <t> BBS 111 </t>
  </si>
  <si>
    <t>2450545.383 </t>
  </si>
  <si>
    <t> 06.04.1997 21:11 </t>
  </si>
  <si>
    <t> -0.013 </t>
  </si>
  <si>
    <t> BBS 115 </t>
  </si>
  <si>
    <t>2451580.4719 </t>
  </si>
  <si>
    <t> 05.02.2000 23:19 </t>
  </si>
  <si>
    <t> 0.0120 </t>
  </si>
  <si>
    <t> M.Zejda </t>
  </si>
  <si>
    <t>IBVS 5583 </t>
  </si>
  <si>
    <t>2451876.5038 </t>
  </si>
  <si>
    <t> 28.11.2000 00:05 </t>
  </si>
  <si>
    <t> 0.0017 </t>
  </si>
  <si>
    <t>IBVS 5287 </t>
  </si>
  <si>
    <t>2451951.490 </t>
  </si>
  <si>
    <t> 10.02.2001 23:45 </t>
  </si>
  <si>
    <t> 0.002 </t>
  </si>
  <si>
    <t> BBS 124 </t>
  </si>
  <si>
    <t>2451965.3588 </t>
  </si>
  <si>
    <t> 24.02.2001 20:36 </t>
  </si>
  <si>
    <t> 0.0007 </t>
  </si>
  <si>
    <t>2452002.4149 </t>
  </si>
  <si>
    <t> 02.04.2001 21:57 </t>
  </si>
  <si>
    <t> -0.0026 </t>
  </si>
  <si>
    <t>2452279.6060 </t>
  </si>
  <si>
    <t> 05.01.2002 02:32 </t>
  </si>
  <si>
    <t> 0.0011 </t>
  </si>
  <si>
    <t>2452362.3940 </t>
  </si>
  <si>
    <t> 28.03.2002 21:27 </t>
  </si>
  <si>
    <t> 0.0013 </t>
  </si>
  <si>
    <t>2452367.3743 </t>
  </si>
  <si>
    <t> 02.04.2002 20:58 </t>
  </si>
  <si>
    <t> -0.0030 </t>
  </si>
  <si>
    <t>2452369.3261 </t>
  </si>
  <si>
    <t> 04.04.2002 19:49 </t>
  </si>
  <si>
    <t> -0.0017 </t>
  </si>
  <si>
    <t>2452668.4037 </t>
  </si>
  <si>
    <t> 28.01.2003 21:41 </t>
  </si>
  <si>
    <t> -0.0004 </t>
  </si>
  <si>
    <t>2452717.377 </t>
  </si>
  <si>
    <t> 18.03.2003 21:02 </t>
  </si>
  <si>
    <t> BBS 129 </t>
  </si>
  <si>
    <t>2453344.5768 </t>
  </si>
  <si>
    <t> 05.12.2004 01:50 </t>
  </si>
  <si>
    <t> 0.0002 </t>
  </si>
  <si>
    <t> M. Zejda et al. </t>
  </si>
  <si>
    <t>IBVS 5741 </t>
  </si>
  <si>
    <t>2453410.4582 </t>
  </si>
  <si>
    <t> 08.02.2005 22:59 </t>
  </si>
  <si>
    <t> -0.0018 </t>
  </si>
  <si>
    <t>2453768.4826 </t>
  </si>
  <si>
    <t> 01.02.2006 23:34 </t>
  </si>
  <si>
    <t> -0.0021 </t>
  </si>
  <si>
    <t>C </t>
  </si>
  <si>
    <t>-I</t>
  </si>
  <si>
    <t> Agerer </t>
  </si>
  <si>
    <t>BAVM 178 </t>
  </si>
  <si>
    <t>2455615.3947 </t>
  </si>
  <si>
    <t> 22.02.2011 21:28 </t>
  </si>
  <si>
    <t>6263.5</t>
  </si>
  <si>
    <t> 0.0055 </t>
  </si>
  <si>
    <t>o</t>
  </si>
  <si>
    <t> W.Moschner &amp; P.Frank </t>
  </si>
  <si>
    <t>BAVM 225 </t>
  </si>
  <si>
    <t>2455615.6122 </t>
  </si>
  <si>
    <t> 23.02.2011 02:41 </t>
  </si>
  <si>
    <t>6264</t>
  </si>
  <si>
    <t> 0.0063 </t>
  </si>
  <si>
    <t>IBVS 5992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</si>
</sst>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b/>
      <sz val="10"/>
      <color indexed="61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wrapText="1"/>
    </xf>
    <xf numFmtId="0" fontId="9" fillId="0" borderId="0" xfId="0" applyFont="1" applyAlignment="1"/>
    <xf numFmtId="0" fontId="0" fillId="0" borderId="0" xfId="0" applyAlignment="1">
      <alignment horizontal="center" wrapText="1"/>
    </xf>
    <xf numFmtId="0" fontId="10" fillId="0" borderId="0" xfId="0" applyFont="1" applyAlignment="1"/>
    <xf numFmtId="0" fontId="5" fillId="0" borderId="1" xfId="0" applyFont="1" applyBorder="1" applyAlignment="1">
      <alignment horizontal="left"/>
    </xf>
    <xf numFmtId="0" fontId="0" fillId="0" borderId="0" xfId="0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>
      <alignment vertical="top"/>
    </xf>
    <xf numFmtId="0" fontId="0" fillId="0" borderId="0" xfId="0" applyAlignment="1">
      <alignment horizontal="left" wrapText="1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CMi - O-C Diagr.</a:t>
            </a:r>
          </a:p>
        </c:rich>
      </c:tx>
      <c:layout>
        <c:manualLayout>
          <c:xMode val="edge"/>
          <c:yMode val="edge"/>
          <c:x val="0.3429756404416389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28942294984722"/>
          <c:y val="0.14769252958613219"/>
          <c:w val="0.770661934503662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61-4023-8BE0-19C347E79C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0.29735999999684282</c:v>
                </c:pt>
                <c:pt idx="2">
                  <c:v>0.3105199999990873</c:v>
                </c:pt>
                <c:pt idx="3">
                  <c:v>0.31612000000313856</c:v>
                </c:pt>
                <c:pt idx="4">
                  <c:v>0.32984000000578817</c:v>
                </c:pt>
                <c:pt idx="5">
                  <c:v>0.31964000000152737</c:v>
                </c:pt>
                <c:pt idx="8">
                  <c:v>0.34727999999449821</c:v>
                </c:pt>
                <c:pt idx="22">
                  <c:v>0.34580000000278233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61-4023-8BE0-19C347E79C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5">
                  <c:v>0.35940000000118744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61-4023-8BE0-19C347E79C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6">
                  <c:v>0.35381999999663094</c:v>
                </c:pt>
                <c:pt idx="7">
                  <c:v>0.34619999999995343</c:v>
                </c:pt>
                <c:pt idx="9">
                  <c:v>0.34600000000500586</c:v>
                </c:pt>
                <c:pt idx="10">
                  <c:v>0.34298000000126194</c:v>
                </c:pt>
                <c:pt idx="11">
                  <c:v>0.34919999999692664</c:v>
                </c:pt>
                <c:pt idx="12">
                  <c:v>0.35039999999571592</c:v>
                </c:pt>
                <c:pt idx="13">
                  <c:v>0.35016000000177883</c:v>
                </c:pt>
                <c:pt idx="14">
                  <c:v>0.34590000000753207</c:v>
                </c:pt>
                <c:pt idx="15">
                  <c:v>0.35020000000076834</c:v>
                </c:pt>
                <c:pt idx="16">
                  <c:v>0.34592000000702683</c:v>
                </c:pt>
                <c:pt idx="17">
                  <c:v>0.3472200000032899</c:v>
                </c:pt>
                <c:pt idx="18">
                  <c:v>0.35012000000278931</c:v>
                </c:pt>
                <c:pt idx="19">
                  <c:v>0.34752000000298722</c:v>
                </c:pt>
                <c:pt idx="20">
                  <c:v>0.35062000000471016</c:v>
                </c:pt>
                <c:pt idx="21">
                  <c:v>0.3512200000041048</c:v>
                </c:pt>
                <c:pt idx="23">
                  <c:v>0.35792000000219559</c:v>
                </c:pt>
                <c:pt idx="24">
                  <c:v>0.35644000000320375</c:v>
                </c:pt>
                <c:pt idx="26">
                  <c:v>0.38365999999950873</c:v>
                </c:pt>
                <c:pt idx="27">
                  <c:v>0.3844400000089081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61-4023-8BE0-19C347E79C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61-4023-8BE0-19C347E79C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61-4023-8BE0-19C347E79C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61-4023-8BE0-19C347E79C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4.4708976156353941E-2</c:v>
                </c:pt>
                <c:pt idx="1">
                  <c:v>0.30682195518199046</c:v>
                </c:pt>
                <c:pt idx="2">
                  <c:v>0.31111710114344149</c:v>
                </c:pt>
                <c:pt idx="3">
                  <c:v>0.31504381471993737</c:v>
                </c:pt>
                <c:pt idx="4">
                  <c:v>0.32273726465314584</c:v>
                </c:pt>
                <c:pt idx="5">
                  <c:v>0.32766989559646009</c:v>
                </c:pt>
                <c:pt idx="6">
                  <c:v>0.33924642895531448</c:v>
                </c:pt>
                <c:pt idx="7">
                  <c:v>0.34255747262537212</c:v>
                </c:pt>
                <c:pt idx="8">
                  <c:v>0.34339614108059902</c:v>
                </c:pt>
                <c:pt idx="9">
                  <c:v>0.34355127050584328</c:v>
                </c:pt>
                <c:pt idx="10">
                  <c:v>0.34396575693891784</c:v>
                </c:pt>
                <c:pt idx="11">
                  <c:v>0.34706592154653398</c:v>
                </c:pt>
                <c:pt idx="12">
                  <c:v>0.34706592154653398</c:v>
                </c:pt>
                <c:pt idx="13">
                  <c:v>0.3479918503034608</c:v>
                </c:pt>
                <c:pt idx="14">
                  <c:v>0.34804759994065798</c:v>
                </c:pt>
                <c:pt idx="15">
                  <c:v>0.34804759994065798</c:v>
                </c:pt>
                <c:pt idx="16">
                  <c:v>0.34806941501608296</c:v>
                </c:pt>
                <c:pt idx="17">
                  <c:v>0.34806941501608296</c:v>
                </c:pt>
                <c:pt idx="18">
                  <c:v>0.34806941501608296</c:v>
                </c:pt>
                <c:pt idx="19">
                  <c:v>0.35141439324791274</c:v>
                </c:pt>
                <c:pt idx="20">
                  <c:v>0.35141439324791274</c:v>
                </c:pt>
                <c:pt idx="21">
                  <c:v>0.35141439324791274</c:v>
                </c:pt>
                <c:pt idx="22">
                  <c:v>0.35196219403080659</c:v>
                </c:pt>
                <c:pt idx="23">
                  <c:v>0.35897695272857139</c:v>
                </c:pt>
                <c:pt idx="24">
                  <c:v>0.35971381749848175</c:v>
                </c:pt>
                <c:pt idx="25">
                  <c:v>0.36371809578759973</c:v>
                </c:pt>
                <c:pt idx="26">
                  <c:v>0.38437454831778345</c:v>
                </c:pt>
                <c:pt idx="27">
                  <c:v>0.38437697221505285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61-4023-8BE0-19C347E79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9440856"/>
        <c:axId val="1"/>
      </c:scatterChart>
      <c:valAx>
        <c:axId val="589440856"/>
        <c:scaling>
          <c:orientation val="minMax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9440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3492765883602"/>
          <c:y val="0.92000129214617399"/>
          <c:w val="0.863637231296501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CMi - O-C Diagr.</a:t>
            </a:r>
          </a:p>
        </c:rich>
      </c:tx>
      <c:layout>
        <c:manualLayout>
          <c:xMode val="edge"/>
          <c:yMode val="edge"/>
          <c:x val="0.3443298969072164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94845360824742"/>
          <c:y val="0.14723926380368099"/>
          <c:w val="0.7711340206185567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BE-4E02-955A-F8EDEBECF1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0.29735999999684282</c:v>
                </c:pt>
                <c:pt idx="2">
                  <c:v>0.3105199999990873</c:v>
                </c:pt>
                <c:pt idx="3">
                  <c:v>0.31612000000313856</c:v>
                </c:pt>
                <c:pt idx="4">
                  <c:v>0.32984000000578817</c:v>
                </c:pt>
                <c:pt idx="5">
                  <c:v>0.31964000000152737</c:v>
                </c:pt>
                <c:pt idx="8">
                  <c:v>0.34727999999449821</c:v>
                </c:pt>
                <c:pt idx="22">
                  <c:v>0.34580000000278233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BE-4E02-955A-F8EDEBECF1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25">
                  <c:v>0.35940000000118744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BE-4E02-955A-F8EDEBECF1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6">
                  <c:v>0.35381999999663094</c:v>
                </c:pt>
                <c:pt idx="7">
                  <c:v>0.34619999999995343</c:v>
                </c:pt>
                <c:pt idx="9">
                  <c:v>0.34600000000500586</c:v>
                </c:pt>
                <c:pt idx="10">
                  <c:v>0.34298000000126194</c:v>
                </c:pt>
                <c:pt idx="11">
                  <c:v>0.34919999999692664</c:v>
                </c:pt>
                <c:pt idx="12">
                  <c:v>0.35039999999571592</c:v>
                </c:pt>
                <c:pt idx="13">
                  <c:v>0.35016000000177883</c:v>
                </c:pt>
                <c:pt idx="14">
                  <c:v>0.34590000000753207</c:v>
                </c:pt>
                <c:pt idx="15">
                  <c:v>0.35020000000076834</c:v>
                </c:pt>
                <c:pt idx="16">
                  <c:v>0.34592000000702683</c:v>
                </c:pt>
                <c:pt idx="17">
                  <c:v>0.3472200000032899</c:v>
                </c:pt>
                <c:pt idx="18">
                  <c:v>0.35012000000278931</c:v>
                </c:pt>
                <c:pt idx="19">
                  <c:v>0.34752000000298722</c:v>
                </c:pt>
                <c:pt idx="20">
                  <c:v>0.35062000000471016</c:v>
                </c:pt>
                <c:pt idx="21">
                  <c:v>0.3512200000041048</c:v>
                </c:pt>
                <c:pt idx="23">
                  <c:v>0.35792000000219559</c:v>
                </c:pt>
                <c:pt idx="24">
                  <c:v>0.35644000000320375</c:v>
                </c:pt>
                <c:pt idx="26">
                  <c:v>0.38365999999950873</c:v>
                </c:pt>
                <c:pt idx="27">
                  <c:v>0.3844400000089081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BE-4E02-955A-F8EDEBECF1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BE-4E02-955A-F8EDEBECF1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BE-4E02-955A-F8EDEBECF1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4.7000000000000002E-3</c:v>
                  </c:pt>
                  <c:pt idx="7">
                    <c:v>4.8999999999999998E-3</c:v>
                  </c:pt>
                  <c:pt idx="8">
                    <c:v>0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5.0000000000000001E-3</c:v>
                  </c:pt>
                  <c:pt idx="12">
                    <c:v>4.3E-3</c:v>
                  </c:pt>
                  <c:pt idx="13">
                    <c:v>5.5999999999999999E-3</c:v>
                  </c:pt>
                  <c:pt idx="14">
                    <c:v>3.3999999999999998E-3</c:v>
                  </c:pt>
                  <c:pt idx="15">
                    <c:v>3.3E-3</c:v>
                  </c:pt>
                  <c:pt idx="16">
                    <c:v>9.2999999999999992E-3</c:v>
                  </c:pt>
                  <c:pt idx="17">
                    <c:v>3.8999999999999998E-3</c:v>
                  </c:pt>
                  <c:pt idx="18">
                    <c:v>3.8E-3</c:v>
                  </c:pt>
                  <c:pt idx="19">
                    <c:v>6.1000000000000004E-3</c:v>
                  </c:pt>
                  <c:pt idx="20">
                    <c:v>6.4999999999999997E-3</c:v>
                  </c:pt>
                  <c:pt idx="21">
                    <c:v>6.3E-3</c:v>
                  </c:pt>
                  <c:pt idx="22">
                    <c:v>4.0000000000000001E-3</c:v>
                  </c:pt>
                  <c:pt idx="23">
                    <c:v>5.0000000000000001E-4</c:v>
                  </c:pt>
                  <c:pt idx="24">
                    <c:v>5.0000000000000001E-4</c:v>
                  </c:pt>
                  <c:pt idx="25">
                    <c:v>1.6000000000000001E-3</c:v>
                  </c:pt>
                  <c:pt idx="26">
                    <c:v>0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BE-4E02-955A-F8EDEBECF1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54068.5</c:v>
                </c:pt>
                <c:pt idx="2">
                  <c:v>54954.5</c:v>
                </c:pt>
                <c:pt idx="3">
                  <c:v>55764.5</c:v>
                </c:pt>
                <c:pt idx="4">
                  <c:v>57351.5</c:v>
                </c:pt>
                <c:pt idx="5">
                  <c:v>58369</c:v>
                </c:pt>
                <c:pt idx="6">
                  <c:v>60757</c:v>
                </c:pt>
                <c:pt idx="7">
                  <c:v>61440</c:v>
                </c:pt>
                <c:pt idx="8">
                  <c:v>61613</c:v>
                </c:pt>
                <c:pt idx="9">
                  <c:v>61645</c:v>
                </c:pt>
                <c:pt idx="10">
                  <c:v>61730.5</c:v>
                </c:pt>
                <c:pt idx="11">
                  <c:v>62370</c:v>
                </c:pt>
                <c:pt idx="12">
                  <c:v>62370</c:v>
                </c:pt>
                <c:pt idx="13">
                  <c:v>62561</c:v>
                </c:pt>
                <c:pt idx="14">
                  <c:v>62572.5</c:v>
                </c:pt>
                <c:pt idx="15">
                  <c:v>62572.5</c:v>
                </c:pt>
                <c:pt idx="16">
                  <c:v>62577</c:v>
                </c:pt>
                <c:pt idx="17">
                  <c:v>62577</c:v>
                </c:pt>
                <c:pt idx="18">
                  <c:v>62577</c:v>
                </c:pt>
                <c:pt idx="19">
                  <c:v>63267</c:v>
                </c:pt>
                <c:pt idx="20">
                  <c:v>63267</c:v>
                </c:pt>
                <c:pt idx="21">
                  <c:v>63267</c:v>
                </c:pt>
                <c:pt idx="22">
                  <c:v>63380</c:v>
                </c:pt>
                <c:pt idx="23">
                  <c:v>64827</c:v>
                </c:pt>
                <c:pt idx="24">
                  <c:v>64979</c:v>
                </c:pt>
                <c:pt idx="25">
                  <c:v>65805</c:v>
                </c:pt>
                <c:pt idx="26">
                  <c:v>70066</c:v>
                </c:pt>
                <c:pt idx="27">
                  <c:v>70066.5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4.4708976156353941E-2</c:v>
                </c:pt>
                <c:pt idx="1">
                  <c:v>0.30682195518199046</c:v>
                </c:pt>
                <c:pt idx="2">
                  <c:v>0.31111710114344149</c:v>
                </c:pt>
                <c:pt idx="3">
                  <c:v>0.31504381471993737</c:v>
                </c:pt>
                <c:pt idx="4">
                  <c:v>0.32273726465314584</c:v>
                </c:pt>
                <c:pt idx="5">
                  <c:v>0.32766989559646009</c:v>
                </c:pt>
                <c:pt idx="6">
                  <c:v>0.33924642895531448</c:v>
                </c:pt>
                <c:pt idx="7">
                  <c:v>0.34255747262537212</c:v>
                </c:pt>
                <c:pt idx="8">
                  <c:v>0.34339614108059902</c:v>
                </c:pt>
                <c:pt idx="9">
                  <c:v>0.34355127050584328</c:v>
                </c:pt>
                <c:pt idx="10">
                  <c:v>0.34396575693891784</c:v>
                </c:pt>
                <c:pt idx="11">
                  <c:v>0.34706592154653398</c:v>
                </c:pt>
                <c:pt idx="12">
                  <c:v>0.34706592154653398</c:v>
                </c:pt>
                <c:pt idx="13">
                  <c:v>0.3479918503034608</c:v>
                </c:pt>
                <c:pt idx="14">
                  <c:v>0.34804759994065798</c:v>
                </c:pt>
                <c:pt idx="15">
                  <c:v>0.34804759994065798</c:v>
                </c:pt>
                <c:pt idx="16">
                  <c:v>0.34806941501608296</c:v>
                </c:pt>
                <c:pt idx="17">
                  <c:v>0.34806941501608296</c:v>
                </c:pt>
                <c:pt idx="18">
                  <c:v>0.34806941501608296</c:v>
                </c:pt>
                <c:pt idx="19">
                  <c:v>0.35141439324791274</c:v>
                </c:pt>
                <c:pt idx="20">
                  <c:v>0.35141439324791274</c:v>
                </c:pt>
                <c:pt idx="21">
                  <c:v>0.35141439324791274</c:v>
                </c:pt>
                <c:pt idx="22">
                  <c:v>0.35196219403080659</c:v>
                </c:pt>
                <c:pt idx="23">
                  <c:v>0.35897695272857139</c:v>
                </c:pt>
                <c:pt idx="24">
                  <c:v>0.35971381749848175</c:v>
                </c:pt>
                <c:pt idx="25">
                  <c:v>0.36371809578759973</c:v>
                </c:pt>
                <c:pt idx="26">
                  <c:v>0.38437454831778345</c:v>
                </c:pt>
                <c:pt idx="27">
                  <c:v>0.38437697221505285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BE-4E02-955A-F8EDEBECF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224312"/>
        <c:axId val="1"/>
      </c:scatterChart>
      <c:valAx>
        <c:axId val="8812243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494845360825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224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164948453608247"/>
          <c:y val="0.92024539877300615"/>
          <c:w val="0.8618556701030928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CMi - O-C Diagr.</a:t>
            </a:r>
          </a:p>
        </c:rich>
      </c:tx>
      <c:layout>
        <c:manualLayout>
          <c:xMode val="edge"/>
          <c:yMode val="edge"/>
          <c:x val="0.34297564044163897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5"/>
          <c:w val="0.7623974633561702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54069</c:v>
                </c:pt>
                <c:pt idx="2">
                  <c:v>54955</c:v>
                </c:pt>
                <c:pt idx="3">
                  <c:v>55765</c:v>
                </c:pt>
                <c:pt idx="4">
                  <c:v>57352</c:v>
                </c:pt>
                <c:pt idx="5">
                  <c:v>58369.5</c:v>
                </c:pt>
                <c:pt idx="6">
                  <c:v>61440.5</c:v>
                </c:pt>
                <c:pt idx="7">
                  <c:v>60757.5</c:v>
                </c:pt>
                <c:pt idx="8">
                  <c:v>61645.5</c:v>
                </c:pt>
                <c:pt idx="9">
                  <c:v>61731</c:v>
                </c:pt>
                <c:pt idx="10">
                  <c:v>62370.5</c:v>
                </c:pt>
                <c:pt idx="11">
                  <c:v>62370.5</c:v>
                </c:pt>
                <c:pt idx="12">
                  <c:v>62561.5</c:v>
                </c:pt>
                <c:pt idx="13">
                  <c:v>62573</c:v>
                </c:pt>
                <c:pt idx="14">
                  <c:v>62573</c:v>
                </c:pt>
                <c:pt idx="15">
                  <c:v>62577.5</c:v>
                </c:pt>
                <c:pt idx="16">
                  <c:v>62577.5</c:v>
                </c:pt>
                <c:pt idx="17">
                  <c:v>62577.5</c:v>
                </c:pt>
                <c:pt idx="18">
                  <c:v>63267.5</c:v>
                </c:pt>
                <c:pt idx="19">
                  <c:v>63267.5</c:v>
                </c:pt>
                <c:pt idx="20">
                  <c:v>63267.5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9A-4DB8-94C8-5D63079DEB3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54069</c:v>
                </c:pt>
                <c:pt idx="2">
                  <c:v>54955</c:v>
                </c:pt>
                <c:pt idx="3">
                  <c:v>55765</c:v>
                </c:pt>
                <c:pt idx="4">
                  <c:v>57352</c:v>
                </c:pt>
                <c:pt idx="5">
                  <c:v>58369.5</c:v>
                </c:pt>
                <c:pt idx="6">
                  <c:v>61440.5</c:v>
                </c:pt>
                <c:pt idx="7">
                  <c:v>60757.5</c:v>
                </c:pt>
                <c:pt idx="8">
                  <c:v>61645.5</c:v>
                </c:pt>
                <c:pt idx="9">
                  <c:v>61731</c:v>
                </c:pt>
                <c:pt idx="10">
                  <c:v>62370.5</c:v>
                </c:pt>
                <c:pt idx="11">
                  <c:v>62370.5</c:v>
                </c:pt>
                <c:pt idx="12">
                  <c:v>62561.5</c:v>
                </c:pt>
                <c:pt idx="13">
                  <c:v>62573</c:v>
                </c:pt>
                <c:pt idx="14">
                  <c:v>62573</c:v>
                </c:pt>
                <c:pt idx="15">
                  <c:v>62577.5</c:v>
                </c:pt>
                <c:pt idx="16">
                  <c:v>62577.5</c:v>
                </c:pt>
                <c:pt idx="17">
                  <c:v>62577.5</c:v>
                </c:pt>
                <c:pt idx="18">
                  <c:v>63267.5</c:v>
                </c:pt>
                <c:pt idx="19">
                  <c:v>63267.5</c:v>
                </c:pt>
                <c:pt idx="20">
                  <c:v>63267.5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8.0640000000130385E-2</c:v>
                </c:pt>
                <c:pt idx="2">
                  <c:v>9.3800000002374873E-2</c:v>
                </c:pt>
                <c:pt idx="3">
                  <c:v>9.9400000006426126E-2</c:v>
                </c:pt>
                <c:pt idx="4">
                  <c:v>0.11312000000179978</c:v>
                </c:pt>
                <c:pt idx="5">
                  <c:v>0.10292000000481494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9A-4DB8-94C8-5D63079DEB34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54069</c:v>
                </c:pt>
                <c:pt idx="2">
                  <c:v>54955</c:v>
                </c:pt>
                <c:pt idx="3">
                  <c:v>55765</c:v>
                </c:pt>
                <c:pt idx="4">
                  <c:v>57352</c:v>
                </c:pt>
                <c:pt idx="5">
                  <c:v>58369.5</c:v>
                </c:pt>
                <c:pt idx="6">
                  <c:v>61440.5</c:v>
                </c:pt>
                <c:pt idx="7">
                  <c:v>60757.5</c:v>
                </c:pt>
                <c:pt idx="8">
                  <c:v>61645.5</c:v>
                </c:pt>
                <c:pt idx="9">
                  <c:v>61731</c:v>
                </c:pt>
                <c:pt idx="10">
                  <c:v>62370.5</c:v>
                </c:pt>
                <c:pt idx="11">
                  <c:v>62370.5</c:v>
                </c:pt>
                <c:pt idx="12">
                  <c:v>62561.5</c:v>
                </c:pt>
                <c:pt idx="13">
                  <c:v>62573</c:v>
                </c:pt>
                <c:pt idx="14">
                  <c:v>62573</c:v>
                </c:pt>
                <c:pt idx="15">
                  <c:v>62577.5</c:v>
                </c:pt>
                <c:pt idx="16">
                  <c:v>62577.5</c:v>
                </c:pt>
                <c:pt idx="17">
                  <c:v>62577.5</c:v>
                </c:pt>
                <c:pt idx="18">
                  <c:v>63267.5</c:v>
                </c:pt>
                <c:pt idx="19">
                  <c:v>63267.5</c:v>
                </c:pt>
                <c:pt idx="20">
                  <c:v>63267.5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6">
                  <c:v>0.12947999999596504</c:v>
                </c:pt>
                <c:pt idx="7">
                  <c:v>0.13709999999991851</c:v>
                </c:pt>
                <c:pt idx="8">
                  <c:v>0.12928000000829343</c:v>
                </c:pt>
                <c:pt idx="9">
                  <c:v>0.12626000000454951</c:v>
                </c:pt>
                <c:pt idx="10">
                  <c:v>0.13367999999900348</c:v>
                </c:pt>
                <c:pt idx="11">
                  <c:v>0.1324800000002142</c:v>
                </c:pt>
                <c:pt idx="12">
                  <c:v>0.13344000000506639</c:v>
                </c:pt>
                <c:pt idx="13">
                  <c:v>0.13347999999677995</c:v>
                </c:pt>
                <c:pt idx="14">
                  <c:v>0.12918000000354368</c:v>
                </c:pt>
                <c:pt idx="15">
                  <c:v>0.12920000000303844</c:v>
                </c:pt>
                <c:pt idx="16">
                  <c:v>0.13339999999880092</c:v>
                </c:pt>
                <c:pt idx="17">
                  <c:v>0.13049999999930151</c:v>
                </c:pt>
                <c:pt idx="18">
                  <c:v>0.13390000000799773</c:v>
                </c:pt>
                <c:pt idx="19">
                  <c:v>0.13450000000739237</c:v>
                </c:pt>
                <c:pt idx="20">
                  <c:v>0.13080000000627479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9A-4DB8-94C8-5D63079DEB34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54069</c:v>
                </c:pt>
                <c:pt idx="2">
                  <c:v>54955</c:v>
                </c:pt>
                <c:pt idx="3">
                  <c:v>55765</c:v>
                </c:pt>
                <c:pt idx="4">
                  <c:v>57352</c:v>
                </c:pt>
                <c:pt idx="5">
                  <c:v>58369.5</c:v>
                </c:pt>
                <c:pt idx="6">
                  <c:v>61440.5</c:v>
                </c:pt>
                <c:pt idx="7">
                  <c:v>60757.5</c:v>
                </c:pt>
                <c:pt idx="8">
                  <c:v>61645.5</c:v>
                </c:pt>
                <c:pt idx="9">
                  <c:v>61731</c:v>
                </c:pt>
                <c:pt idx="10">
                  <c:v>62370.5</c:v>
                </c:pt>
                <c:pt idx="11">
                  <c:v>62370.5</c:v>
                </c:pt>
                <c:pt idx="12">
                  <c:v>62561.5</c:v>
                </c:pt>
                <c:pt idx="13">
                  <c:v>62573</c:v>
                </c:pt>
                <c:pt idx="14">
                  <c:v>62573</c:v>
                </c:pt>
                <c:pt idx="15">
                  <c:v>62577.5</c:v>
                </c:pt>
                <c:pt idx="16">
                  <c:v>62577.5</c:v>
                </c:pt>
                <c:pt idx="17">
                  <c:v>62577.5</c:v>
                </c:pt>
                <c:pt idx="18">
                  <c:v>63267.5</c:v>
                </c:pt>
                <c:pt idx="19">
                  <c:v>63267.5</c:v>
                </c:pt>
                <c:pt idx="20">
                  <c:v>63267.5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9A-4DB8-94C8-5D63079DEB34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54069</c:v>
                </c:pt>
                <c:pt idx="2">
                  <c:v>54955</c:v>
                </c:pt>
                <c:pt idx="3">
                  <c:v>55765</c:v>
                </c:pt>
                <c:pt idx="4">
                  <c:v>57352</c:v>
                </c:pt>
                <c:pt idx="5">
                  <c:v>58369.5</c:v>
                </c:pt>
                <c:pt idx="6">
                  <c:v>61440.5</c:v>
                </c:pt>
                <c:pt idx="7">
                  <c:v>60757.5</c:v>
                </c:pt>
                <c:pt idx="8">
                  <c:v>61645.5</c:v>
                </c:pt>
                <c:pt idx="9">
                  <c:v>61731</c:v>
                </c:pt>
                <c:pt idx="10">
                  <c:v>62370.5</c:v>
                </c:pt>
                <c:pt idx="11">
                  <c:v>62370.5</c:v>
                </c:pt>
                <c:pt idx="12">
                  <c:v>62561.5</c:v>
                </c:pt>
                <c:pt idx="13">
                  <c:v>62573</c:v>
                </c:pt>
                <c:pt idx="14">
                  <c:v>62573</c:v>
                </c:pt>
                <c:pt idx="15">
                  <c:v>62577.5</c:v>
                </c:pt>
                <c:pt idx="16">
                  <c:v>62577.5</c:v>
                </c:pt>
                <c:pt idx="17">
                  <c:v>62577.5</c:v>
                </c:pt>
                <c:pt idx="18">
                  <c:v>63267.5</c:v>
                </c:pt>
                <c:pt idx="19">
                  <c:v>63267.5</c:v>
                </c:pt>
                <c:pt idx="20">
                  <c:v>63267.5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9A-4DB8-94C8-5D63079DEB3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54069</c:v>
                </c:pt>
                <c:pt idx="2">
                  <c:v>54955</c:v>
                </c:pt>
                <c:pt idx="3">
                  <c:v>55765</c:v>
                </c:pt>
                <c:pt idx="4">
                  <c:v>57352</c:v>
                </c:pt>
                <c:pt idx="5">
                  <c:v>58369.5</c:v>
                </c:pt>
                <c:pt idx="6">
                  <c:v>61440.5</c:v>
                </c:pt>
                <c:pt idx="7">
                  <c:v>60757.5</c:v>
                </c:pt>
                <c:pt idx="8">
                  <c:v>61645.5</c:v>
                </c:pt>
                <c:pt idx="9">
                  <c:v>61731</c:v>
                </c:pt>
                <c:pt idx="10">
                  <c:v>62370.5</c:v>
                </c:pt>
                <c:pt idx="11">
                  <c:v>62370.5</c:v>
                </c:pt>
                <c:pt idx="12">
                  <c:v>62561.5</c:v>
                </c:pt>
                <c:pt idx="13">
                  <c:v>62573</c:v>
                </c:pt>
                <c:pt idx="14">
                  <c:v>62573</c:v>
                </c:pt>
                <c:pt idx="15">
                  <c:v>62577.5</c:v>
                </c:pt>
                <c:pt idx="16">
                  <c:v>62577.5</c:v>
                </c:pt>
                <c:pt idx="17">
                  <c:v>62577.5</c:v>
                </c:pt>
                <c:pt idx="18">
                  <c:v>63267.5</c:v>
                </c:pt>
                <c:pt idx="19">
                  <c:v>63267.5</c:v>
                </c:pt>
                <c:pt idx="20">
                  <c:v>63267.5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9A-4DB8-94C8-5D63079DEB3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7.0000000000000001E-3</c:v>
                  </c:pt>
                  <c:pt idx="2">
                    <c:v>8.0000000000000002E-3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0.01</c:v>
                  </c:pt>
                  <c:pt idx="6">
                    <c:v>4.8999999999999998E-3</c:v>
                  </c:pt>
                  <c:pt idx="7">
                    <c:v>4.7000000000000002E-3</c:v>
                  </c:pt>
                  <c:pt idx="8">
                    <c:v>3.0000000000000001E-3</c:v>
                  </c:pt>
                  <c:pt idx="9">
                    <c:v>2E-3</c:v>
                  </c:pt>
                  <c:pt idx="10">
                    <c:v>4.3E-3</c:v>
                  </c:pt>
                  <c:pt idx="11">
                    <c:v>5.0000000000000001E-3</c:v>
                  </c:pt>
                  <c:pt idx="12">
                    <c:v>5.5999999999999999E-3</c:v>
                  </c:pt>
                  <c:pt idx="13">
                    <c:v>3.3E-3</c:v>
                  </c:pt>
                  <c:pt idx="14">
                    <c:v>3.3999999999999998E-3</c:v>
                  </c:pt>
                  <c:pt idx="15">
                    <c:v>9.2999999999999992E-3</c:v>
                  </c:pt>
                  <c:pt idx="16">
                    <c:v>3.8E-3</c:v>
                  </c:pt>
                  <c:pt idx="17">
                    <c:v>3.8999999999999998E-3</c:v>
                  </c:pt>
                  <c:pt idx="18">
                    <c:v>6.4999999999999997E-3</c:v>
                  </c:pt>
                  <c:pt idx="19">
                    <c:v>6.3E-3</c:v>
                  </c:pt>
                  <c:pt idx="20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54069</c:v>
                </c:pt>
                <c:pt idx="2">
                  <c:v>54955</c:v>
                </c:pt>
                <c:pt idx="3">
                  <c:v>55765</c:v>
                </c:pt>
                <c:pt idx="4">
                  <c:v>57352</c:v>
                </c:pt>
                <c:pt idx="5">
                  <c:v>58369.5</c:v>
                </c:pt>
                <c:pt idx="6">
                  <c:v>61440.5</c:v>
                </c:pt>
                <c:pt idx="7">
                  <c:v>60757.5</c:v>
                </c:pt>
                <c:pt idx="8">
                  <c:v>61645.5</c:v>
                </c:pt>
                <c:pt idx="9">
                  <c:v>61731</c:v>
                </c:pt>
                <c:pt idx="10">
                  <c:v>62370.5</c:v>
                </c:pt>
                <c:pt idx="11">
                  <c:v>62370.5</c:v>
                </c:pt>
                <c:pt idx="12">
                  <c:v>62561.5</c:v>
                </c:pt>
                <c:pt idx="13">
                  <c:v>62573</c:v>
                </c:pt>
                <c:pt idx="14">
                  <c:v>62573</c:v>
                </c:pt>
                <c:pt idx="15">
                  <c:v>62577.5</c:v>
                </c:pt>
                <c:pt idx="16">
                  <c:v>62577.5</c:v>
                </c:pt>
                <c:pt idx="17">
                  <c:v>62577.5</c:v>
                </c:pt>
                <c:pt idx="18">
                  <c:v>63267.5</c:v>
                </c:pt>
                <c:pt idx="19">
                  <c:v>63267.5</c:v>
                </c:pt>
                <c:pt idx="20">
                  <c:v>63267.5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9A-4DB8-94C8-5D63079DEB3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54069</c:v>
                </c:pt>
                <c:pt idx="2">
                  <c:v>54955</c:v>
                </c:pt>
                <c:pt idx="3">
                  <c:v>55765</c:v>
                </c:pt>
                <c:pt idx="4">
                  <c:v>57352</c:v>
                </c:pt>
                <c:pt idx="5">
                  <c:v>58369.5</c:v>
                </c:pt>
                <c:pt idx="6">
                  <c:v>61440.5</c:v>
                </c:pt>
                <c:pt idx="7">
                  <c:v>60757.5</c:v>
                </c:pt>
                <c:pt idx="8">
                  <c:v>61645.5</c:v>
                </c:pt>
                <c:pt idx="9">
                  <c:v>61731</c:v>
                </c:pt>
                <c:pt idx="10">
                  <c:v>62370.5</c:v>
                </c:pt>
                <c:pt idx="11">
                  <c:v>62370.5</c:v>
                </c:pt>
                <c:pt idx="12">
                  <c:v>62561.5</c:v>
                </c:pt>
                <c:pt idx="13">
                  <c:v>62573</c:v>
                </c:pt>
                <c:pt idx="14">
                  <c:v>62573</c:v>
                </c:pt>
                <c:pt idx="15">
                  <c:v>62577.5</c:v>
                </c:pt>
                <c:pt idx="16">
                  <c:v>62577.5</c:v>
                </c:pt>
                <c:pt idx="17">
                  <c:v>62577.5</c:v>
                </c:pt>
                <c:pt idx="18">
                  <c:v>63267.5</c:v>
                </c:pt>
                <c:pt idx="19">
                  <c:v>63267.5</c:v>
                </c:pt>
                <c:pt idx="20">
                  <c:v>63267.5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-0.19269977603003857</c:v>
                </c:pt>
                <c:pt idx="1">
                  <c:v>8.832560736420092E-2</c:v>
                </c:pt>
                <c:pt idx="2">
                  <c:v>9.2930621137107705E-2</c:v>
                </c:pt>
                <c:pt idx="3">
                  <c:v>9.7140622441909574E-2</c:v>
                </c:pt>
                <c:pt idx="4">
                  <c:v>0.10538910647983629</c:v>
                </c:pt>
                <c:pt idx="5">
                  <c:v>0.11067759577321395</c:v>
                </c:pt>
                <c:pt idx="6">
                  <c:v>0.12663921800413575</c:v>
                </c:pt>
                <c:pt idx="7">
                  <c:v>0.12308930332366697</c:v>
                </c:pt>
                <c:pt idx="8">
                  <c:v>0.1277047121615239</c:v>
                </c:pt>
                <c:pt idx="9">
                  <c:v>0.12814910118814188</c:v>
                </c:pt>
                <c:pt idx="10">
                  <c:v>0.13147292320594534</c:v>
                </c:pt>
                <c:pt idx="11">
                  <c:v>0.13147292320594534</c:v>
                </c:pt>
                <c:pt idx="12">
                  <c:v>0.13246565190868259</c:v>
                </c:pt>
                <c:pt idx="13">
                  <c:v>0.1325254235321458</c:v>
                </c:pt>
                <c:pt idx="14">
                  <c:v>0.1325254235321458</c:v>
                </c:pt>
                <c:pt idx="15">
                  <c:v>0.13254881242828359</c:v>
                </c:pt>
                <c:pt idx="16">
                  <c:v>0.13254881242828359</c:v>
                </c:pt>
                <c:pt idx="17">
                  <c:v>0.13254881242828359</c:v>
                </c:pt>
                <c:pt idx="18">
                  <c:v>0.13613510983607779</c:v>
                </c:pt>
                <c:pt idx="19">
                  <c:v>0.13613510983607779</c:v>
                </c:pt>
                <c:pt idx="20">
                  <c:v>0.13613510983607779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9A-4DB8-94C8-5D63079DE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364400"/>
        <c:axId val="1"/>
      </c:scatterChart>
      <c:valAx>
        <c:axId val="724364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364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874999999999996"/>
          <c:w val="0.9917366217652545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9525</xdr:rowOff>
    </xdr:from>
    <xdr:to>
      <xdr:col>17</xdr:col>
      <xdr:colOff>228599</xdr:colOff>
      <xdr:row>17</xdr:row>
      <xdr:rowOff>133350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6EF39E6C-6D62-F515-D2FA-CC055BE9D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0</xdr:row>
      <xdr:rowOff>47625</xdr:rowOff>
    </xdr:from>
    <xdr:to>
      <xdr:col>27</xdr:col>
      <xdr:colOff>85725</xdr:colOff>
      <xdr:row>17</xdr:row>
      <xdr:rowOff>123825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617C06A9-E080-B369-FD1F-179138566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</xdr:row>
      <xdr:rowOff>28575</xdr:rowOff>
    </xdr:from>
    <xdr:to>
      <xdr:col>14</xdr:col>
      <xdr:colOff>57150</xdr:colOff>
      <xdr:row>19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63D6118-0CD6-1B72-D134-773C2B87C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bav-astro.de/sfs/BAVM_link.php?BAVMnr=178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www.konkoly.hu/cgi-bin/IBVS?5583" TargetMode="External"/><Relationship Id="rId10" Type="http://schemas.openxmlformats.org/officeDocument/2006/relationships/hyperlink" Target="http://www.konkoly.hu/cgi-bin/IBVS?5741" TargetMode="External"/><Relationship Id="rId4" Type="http://schemas.openxmlformats.org/officeDocument/2006/relationships/hyperlink" Target="http://www.konkoly.hu/cgi-bin/IBVS?5583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konkoly.hu/cgi-bin/IBVS?5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E113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47</v>
      </c>
    </row>
    <row r="2" spans="1:6">
      <c r="A2" t="s">
        <v>26</v>
      </c>
      <c r="B2" s="16" t="s">
        <v>45</v>
      </c>
    </row>
    <row r="4" spans="1:6" ht="14.25" thickTop="1" thickBot="1">
      <c r="A4" s="8" t="s">
        <v>0</v>
      </c>
      <c r="C4" s="3">
        <v>25245.603999999999</v>
      </c>
      <c r="D4" s="4">
        <v>0.43343999999999999</v>
      </c>
    </row>
    <row r="5" spans="1:6" ht="13.5" thickTop="1">
      <c r="A5" s="20" t="s">
        <v>49</v>
      </c>
      <c r="B5" s="17"/>
      <c r="C5" s="21">
        <v>-9.5</v>
      </c>
      <c r="D5" s="17" t="s">
        <v>50</v>
      </c>
    </row>
    <row r="6" spans="1:6">
      <c r="A6" s="8" t="s">
        <v>1</v>
      </c>
    </row>
    <row r="7" spans="1:6">
      <c r="A7" t="s">
        <v>2</v>
      </c>
      <c r="C7">
        <f>+C4</f>
        <v>25245.603999999999</v>
      </c>
    </row>
    <row r="8" spans="1:6">
      <c r="A8" t="s">
        <v>3</v>
      </c>
      <c r="C8">
        <f>+D4</f>
        <v>0.43343999999999999</v>
      </c>
    </row>
    <row r="9" spans="1:6">
      <c r="A9" s="35" t="s">
        <v>57</v>
      </c>
      <c r="B9" s="36">
        <v>21</v>
      </c>
      <c r="C9" s="34" t="str">
        <f>"F"&amp;B9</f>
        <v>F21</v>
      </c>
      <c r="D9" s="13" t="str">
        <f>"G"&amp;B9</f>
        <v>G21</v>
      </c>
    </row>
    <row r="10" spans="1:6" ht="13.5" thickBot="1">
      <c r="A10" s="17"/>
      <c r="B10" s="17"/>
      <c r="C10" s="7" t="s">
        <v>21</v>
      </c>
      <c r="D10" s="7" t="s">
        <v>22</v>
      </c>
      <c r="E10" s="17"/>
    </row>
    <row r="11" spans="1:6">
      <c r="A11" s="17" t="s">
        <v>16</v>
      </c>
      <c r="B11" s="17"/>
      <c r="C11" s="33">
        <f ca="1">INTERCEPT(INDIRECT($D$9):G992,INDIRECT($C$9):F992)</f>
        <v>4.4708976156353941E-2</v>
      </c>
      <c r="D11" s="6"/>
      <c r="E11" s="17"/>
    </row>
    <row r="12" spans="1:6">
      <c r="A12" s="17" t="s">
        <v>17</v>
      </c>
      <c r="B12" s="17"/>
      <c r="C12" s="33">
        <f ca="1">SLOPE(INDIRECT($D$9):G992,INDIRECT($C$9):F992)</f>
        <v>4.8477945388837593E-6</v>
      </c>
      <c r="D12" s="6"/>
      <c r="E12" s="17"/>
    </row>
    <row r="13" spans="1:6">
      <c r="A13" s="17" t="s">
        <v>20</v>
      </c>
      <c r="B13" s="17"/>
      <c r="C13" s="6" t="s">
        <v>14</v>
      </c>
    </row>
    <row r="14" spans="1:6">
      <c r="A14" s="17"/>
      <c r="B14" s="17"/>
      <c r="C14" s="17"/>
    </row>
    <row r="15" spans="1:6">
      <c r="A15" s="22" t="s">
        <v>18</v>
      </c>
      <c r="B15" s="17"/>
      <c r="C15" s="23">
        <f ca="1">(C7+C11)+(C8+C12)*INT(MAX(F21:F3533))</f>
        <v>55615.395414548315</v>
      </c>
      <c r="E15" s="24" t="s">
        <v>55</v>
      </c>
      <c r="F15" s="21">
        <v>1</v>
      </c>
    </row>
    <row r="16" spans="1:6">
      <c r="A16" s="26" t="s">
        <v>4</v>
      </c>
      <c r="B16" s="17"/>
      <c r="C16" s="27">
        <f ca="1">+C8+C12</f>
        <v>0.4334448477945389</v>
      </c>
      <c r="E16" s="24" t="s">
        <v>51</v>
      </c>
      <c r="F16" s="25">
        <f ca="1">NOW()+15018.5+$C$5/24</f>
        <v>60338.68181076389</v>
      </c>
    </row>
    <row r="17" spans="1:31" ht="13.5" thickBot="1">
      <c r="A17" s="24" t="s">
        <v>46</v>
      </c>
      <c r="B17" s="17"/>
      <c r="C17" s="17">
        <f>COUNT(C21:C2191)</f>
        <v>28</v>
      </c>
      <c r="E17" s="24" t="s">
        <v>56</v>
      </c>
      <c r="F17" s="25">
        <f ca="1">ROUND(2*(F16-$C$7)/$C$8,0)/2+F15</f>
        <v>80965</v>
      </c>
    </row>
    <row r="18" spans="1:31" ht="14.25" thickTop="1" thickBot="1">
      <c r="A18" s="26" t="s">
        <v>5</v>
      </c>
      <c r="B18" s="17"/>
      <c r="C18" s="29">
        <f ca="1">+C15</f>
        <v>55615.395414548315</v>
      </c>
      <c r="D18" s="30">
        <f ca="1">+C16</f>
        <v>0.4334448477945389</v>
      </c>
      <c r="E18" s="24" t="s">
        <v>52</v>
      </c>
      <c r="F18" s="13">
        <f ca="1">ROUND(2*(F16-$C$15)/$C$16,0)/2+F15</f>
        <v>10898</v>
      </c>
    </row>
    <row r="19" spans="1:31" ht="13.5" thickTop="1">
      <c r="E19" s="24" t="s">
        <v>53</v>
      </c>
      <c r="F19" s="28">
        <f ca="1">+$C$15+$C$16*F18-15018.5-$C$5/24</f>
        <v>45320.973199146538</v>
      </c>
    </row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67</v>
      </c>
      <c r="I20" s="10" t="s">
        <v>70</v>
      </c>
      <c r="J20" s="10" t="s">
        <v>64</v>
      </c>
      <c r="K20" s="10" t="s">
        <v>62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 s="18">
        <v>25245.603999999999</v>
      </c>
      <c r="D21" s="18" t="s">
        <v>14</v>
      </c>
      <c r="E21">
        <f t="shared" ref="E21:E48" si="0">+(C21-C$7)/C$8</f>
        <v>0</v>
      </c>
      <c r="F21">
        <f>ROUND(2*E21,0)/2</f>
        <v>0</v>
      </c>
      <c r="H21" s="13">
        <v>0</v>
      </c>
      <c r="O21">
        <f t="shared" ref="O21:O48" ca="1" si="1">+C$11+C$12*F21</f>
        <v>4.4708976156353941E-2</v>
      </c>
      <c r="Q21" s="2">
        <f t="shared" ref="Q21:Q48" si="2">+C21-15018.5</f>
        <v>10227.103999999999</v>
      </c>
    </row>
    <row r="22" spans="1:31">
      <c r="A22" t="s">
        <v>33</v>
      </c>
      <c r="C22" s="18">
        <v>48681.351999999999</v>
      </c>
      <c r="D22" s="18">
        <v>7.0000000000000001E-3</v>
      </c>
      <c r="E22">
        <f t="shared" si="0"/>
        <v>54069.186046511626</v>
      </c>
      <c r="F22" s="13">
        <f>ROUND(2*E22,0)/2-0.5</f>
        <v>54068.5</v>
      </c>
      <c r="G22">
        <f t="shared" ref="G22:G48" si="3">+C22-(C$7+F22*C$8)</f>
        <v>0.29735999999684282</v>
      </c>
      <c r="I22">
        <f>+G22</f>
        <v>0.29735999999684282</v>
      </c>
      <c r="O22">
        <f t="shared" ca="1" si="1"/>
        <v>0.30682195518199046</v>
      </c>
      <c r="Q22" s="2">
        <f t="shared" si="2"/>
        <v>33662.851999999999</v>
      </c>
      <c r="AA22">
        <v>19</v>
      </c>
      <c r="AC22" t="s">
        <v>32</v>
      </c>
      <c r="AE22" t="s">
        <v>34</v>
      </c>
    </row>
    <row r="23" spans="1:31">
      <c r="A23" t="s">
        <v>35</v>
      </c>
      <c r="C23" s="18">
        <v>49065.392999999996</v>
      </c>
      <c r="D23" s="18">
        <v>8.0000000000000002E-3</v>
      </c>
      <c r="E23">
        <f t="shared" si="0"/>
        <v>54955.21640826873</v>
      </c>
      <c r="F23" s="13">
        <f>ROUND(2*E23,0)/2-0.5</f>
        <v>54954.5</v>
      </c>
      <c r="G23">
        <f t="shared" si="3"/>
        <v>0.3105199999990873</v>
      </c>
      <c r="I23">
        <f>+G23</f>
        <v>0.3105199999990873</v>
      </c>
      <c r="O23">
        <f t="shared" ca="1" si="1"/>
        <v>0.31111710114344149</v>
      </c>
      <c r="Q23" s="2">
        <f t="shared" si="2"/>
        <v>34046.892999999996</v>
      </c>
      <c r="AA23">
        <v>14</v>
      </c>
      <c r="AC23" t="s">
        <v>32</v>
      </c>
      <c r="AE23" t="s">
        <v>34</v>
      </c>
    </row>
    <row r="24" spans="1:31">
      <c r="A24" t="s">
        <v>36</v>
      </c>
      <c r="C24" s="18">
        <v>49416.485000000001</v>
      </c>
      <c r="D24" s="18">
        <v>5.0000000000000001E-3</v>
      </c>
      <c r="E24">
        <f t="shared" si="0"/>
        <v>55765.229328165377</v>
      </c>
      <c r="F24" s="13">
        <f>ROUND(2*E24,0)/2-0.5</f>
        <v>55764.5</v>
      </c>
      <c r="G24">
        <f t="shared" si="3"/>
        <v>0.31612000000313856</v>
      </c>
      <c r="I24">
        <f>+G24</f>
        <v>0.31612000000313856</v>
      </c>
      <c r="O24">
        <f t="shared" ca="1" si="1"/>
        <v>0.31504381471993737</v>
      </c>
      <c r="Q24" s="2">
        <f t="shared" si="2"/>
        <v>34397.985000000001</v>
      </c>
      <c r="AA24">
        <v>16</v>
      </c>
      <c r="AC24" t="s">
        <v>32</v>
      </c>
      <c r="AE24" t="s">
        <v>34</v>
      </c>
    </row>
    <row r="25" spans="1:31">
      <c r="A25" t="s">
        <v>38</v>
      </c>
      <c r="C25" s="18">
        <v>50104.368000000002</v>
      </c>
      <c r="D25" s="18">
        <v>5.0000000000000001E-3</v>
      </c>
      <c r="E25">
        <f t="shared" si="0"/>
        <v>57352.26098191215</v>
      </c>
      <c r="F25" s="13">
        <f>ROUND(2*E25,0)/2-1</f>
        <v>57351.5</v>
      </c>
      <c r="G25">
        <f t="shared" si="3"/>
        <v>0.32984000000578817</v>
      </c>
      <c r="I25">
        <f>+G25</f>
        <v>0.32984000000578817</v>
      </c>
      <c r="O25">
        <f t="shared" ca="1" si="1"/>
        <v>0.32273726465314584</v>
      </c>
      <c r="Q25" s="2">
        <f t="shared" si="2"/>
        <v>35085.868000000002</v>
      </c>
      <c r="AA25">
        <v>12</v>
      </c>
      <c r="AC25" t="s">
        <v>37</v>
      </c>
      <c r="AE25" t="s">
        <v>34</v>
      </c>
    </row>
    <row r="26" spans="1:31">
      <c r="A26" t="s">
        <v>39</v>
      </c>
      <c r="C26" s="18">
        <v>50545.383000000002</v>
      </c>
      <c r="D26" s="18">
        <v>0.01</v>
      </c>
      <c r="E26">
        <f t="shared" si="0"/>
        <v>58369.737449243272</v>
      </c>
      <c r="F26" s="13">
        <f>ROUND(2*E26,0)/2-0.5</f>
        <v>58369</v>
      </c>
      <c r="G26">
        <f t="shared" si="3"/>
        <v>0.31964000000152737</v>
      </c>
      <c r="I26">
        <f>+G26</f>
        <v>0.31964000000152737</v>
      </c>
      <c r="O26">
        <f t="shared" ca="1" si="1"/>
        <v>0.32766989559646009</v>
      </c>
      <c r="Q26" s="2">
        <f t="shared" si="2"/>
        <v>35526.883000000002</v>
      </c>
      <c r="AA26">
        <v>10</v>
      </c>
      <c r="AC26" t="s">
        <v>37</v>
      </c>
      <c r="AE26" t="s">
        <v>34</v>
      </c>
    </row>
    <row r="27" spans="1:31">
      <c r="A27" t="s">
        <v>43</v>
      </c>
      <c r="B27" s="14" t="s">
        <v>41</v>
      </c>
      <c r="C27" s="19">
        <v>51580.471899999997</v>
      </c>
      <c r="D27" s="19">
        <v>4.7000000000000002E-3</v>
      </c>
      <c r="E27">
        <f t="shared" si="0"/>
        <v>60757.816306755252</v>
      </c>
      <c r="F27" s="15">
        <f t="shared" ref="F27:F48" si="4">ROUND(2*E27,0)/2-1</f>
        <v>60757</v>
      </c>
      <c r="G27">
        <f t="shared" si="3"/>
        <v>0.35381999999663094</v>
      </c>
      <c r="K27">
        <f>G27</f>
        <v>0.35381999999663094</v>
      </c>
      <c r="O27">
        <f t="shared" ca="1" si="1"/>
        <v>0.33924642895531448</v>
      </c>
      <c r="Q27" s="2">
        <f t="shared" si="2"/>
        <v>36561.971899999997</v>
      </c>
    </row>
    <row r="28" spans="1:31">
      <c r="A28" t="s">
        <v>40</v>
      </c>
      <c r="C28" s="19">
        <v>51876.503799999999</v>
      </c>
      <c r="D28" s="19">
        <v>4.8999999999999998E-3</v>
      </c>
      <c r="E28">
        <f t="shared" si="0"/>
        <v>61440.798726467328</v>
      </c>
      <c r="F28" s="15">
        <f t="shared" si="4"/>
        <v>61440</v>
      </c>
      <c r="G28">
        <f t="shared" si="3"/>
        <v>0.34619999999995343</v>
      </c>
      <c r="K28">
        <f>G28</f>
        <v>0.34619999999995343</v>
      </c>
      <c r="O28">
        <f t="shared" ca="1" si="1"/>
        <v>0.34255747262537212</v>
      </c>
      <c r="Q28" s="2">
        <f t="shared" si="2"/>
        <v>36858.003799999999</v>
      </c>
    </row>
    <row r="29" spans="1:31">
      <c r="A29" s="53" t="s">
        <v>107</v>
      </c>
      <c r="B29" s="54" t="s">
        <v>42</v>
      </c>
      <c r="C29" s="53">
        <v>51951.49</v>
      </c>
      <c r="D29" s="53" t="s">
        <v>70</v>
      </c>
      <c r="E29">
        <f t="shared" si="0"/>
        <v>61613.80121816168</v>
      </c>
      <c r="F29" s="15">
        <f t="shared" si="4"/>
        <v>61613</v>
      </c>
      <c r="G29">
        <f t="shared" si="3"/>
        <v>0.34727999999449821</v>
      </c>
      <c r="I29">
        <f>+G29</f>
        <v>0.34727999999449821</v>
      </c>
      <c r="O29">
        <f t="shared" ca="1" si="1"/>
        <v>0.34339614108059902</v>
      </c>
      <c r="Q29" s="2">
        <f t="shared" si="2"/>
        <v>36932.99</v>
      </c>
    </row>
    <row r="30" spans="1:31">
      <c r="A30" t="s">
        <v>43</v>
      </c>
      <c r="B30" s="14" t="s">
        <v>41</v>
      </c>
      <c r="C30" s="19">
        <v>51965.358800000002</v>
      </c>
      <c r="D30" s="19">
        <v>3.0000000000000001E-3</v>
      </c>
      <c r="E30">
        <f t="shared" si="0"/>
        <v>61645.79826504246</v>
      </c>
      <c r="F30" s="15">
        <f t="shared" si="4"/>
        <v>61645</v>
      </c>
      <c r="G30">
        <f t="shared" si="3"/>
        <v>0.34600000000500586</v>
      </c>
      <c r="K30">
        <f t="shared" ref="K30:K42" si="5">G30</f>
        <v>0.34600000000500586</v>
      </c>
      <c r="O30">
        <f t="shared" ca="1" si="1"/>
        <v>0.34355127050584328</v>
      </c>
      <c r="Q30" s="2">
        <f t="shared" si="2"/>
        <v>36946.858800000002</v>
      </c>
    </row>
    <row r="31" spans="1:31">
      <c r="A31" t="s">
        <v>43</v>
      </c>
      <c r="B31" s="14" t="s">
        <v>42</v>
      </c>
      <c r="C31" s="19">
        <v>52002.414900000003</v>
      </c>
      <c r="D31" s="19">
        <v>2E-3</v>
      </c>
      <c r="E31">
        <f t="shared" si="0"/>
        <v>61731.291297526775</v>
      </c>
      <c r="F31" s="15">
        <f t="shared" si="4"/>
        <v>61730.5</v>
      </c>
      <c r="G31">
        <f t="shared" si="3"/>
        <v>0.34298000000126194</v>
      </c>
      <c r="K31">
        <f t="shared" si="5"/>
        <v>0.34298000000126194</v>
      </c>
      <c r="O31">
        <f t="shared" ca="1" si="1"/>
        <v>0.34396575693891784</v>
      </c>
      <c r="Q31" s="2">
        <f t="shared" si="2"/>
        <v>36983.914900000003</v>
      </c>
    </row>
    <row r="32" spans="1:31">
      <c r="A32" t="s">
        <v>43</v>
      </c>
      <c r="B32" s="14" t="s">
        <v>41</v>
      </c>
      <c r="C32" s="19">
        <v>52279.606</v>
      </c>
      <c r="D32" s="19">
        <v>5.0000000000000001E-3</v>
      </c>
      <c r="E32">
        <f t="shared" si="0"/>
        <v>62370.805647840534</v>
      </c>
      <c r="F32" s="15">
        <f t="shared" si="4"/>
        <v>62370</v>
      </c>
      <c r="G32">
        <f t="shared" si="3"/>
        <v>0.34919999999692664</v>
      </c>
      <c r="K32">
        <f t="shared" si="5"/>
        <v>0.34919999999692664</v>
      </c>
      <c r="O32">
        <f t="shared" ca="1" si="1"/>
        <v>0.34706592154653398</v>
      </c>
      <c r="Q32" s="2">
        <f t="shared" si="2"/>
        <v>37261.106</v>
      </c>
    </row>
    <row r="33" spans="1:17">
      <c r="A33" t="s">
        <v>43</v>
      </c>
      <c r="B33" s="14" t="s">
        <v>41</v>
      </c>
      <c r="C33" s="19">
        <v>52279.607199999999</v>
      </c>
      <c r="D33" s="19">
        <v>4.3E-3</v>
      </c>
      <c r="E33">
        <f t="shared" si="0"/>
        <v>62370.808416389809</v>
      </c>
      <c r="F33" s="15">
        <f t="shared" si="4"/>
        <v>62370</v>
      </c>
      <c r="G33">
        <f t="shared" si="3"/>
        <v>0.35039999999571592</v>
      </c>
      <c r="K33">
        <f t="shared" si="5"/>
        <v>0.35039999999571592</v>
      </c>
      <c r="O33">
        <f t="shared" ca="1" si="1"/>
        <v>0.34706592154653398</v>
      </c>
      <c r="Q33" s="2">
        <f t="shared" si="2"/>
        <v>37261.107199999999</v>
      </c>
    </row>
    <row r="34" spans="1:17">
      <c r="A34" t="s">
        <v>43</v>
      </c>
      <c r="B34" s="14" t="s">
        <v>41</v>
      </c>
      <c r="C34" s="19">
        <v>52362.394</v>
      </c>
      <c r="D34" s="19">
        <v>5.5999999999999999E-3</v>
      </c>
      <c r="E34">
        <f t="shared" si="0"/>
        <v>62561.807862679962</v>
      </c>
      <c r="F34" s="15">
        <f t="shared" si="4"/>
        <v>62561</v>
      </c>
      <c r="G34">
        <f t="shared" si="3"/>
        <v>0.35016000000177883</v>
      </c>
      <c r="K34">
        <f t="shared" si="5"/>
        <v>0.35016000000177883</v>
      </c>
      <c r="O34">
        <f t="shared" ca="1" si="1"/>
        <v>0.3479918503034608</v>
      </c>
      <c r="Q34" s="2">
        <f t="shared" si="2"/>
        <v>37343.894</v>
      </c>
    </row>
    <row r="35" spans="1:17">
      <c r="A35" t="s">
        <v>43</v>
      </c>
      <c r="B35" s="14" t="s">
        <v>42</v>
      </c>
      <c r="C35" s="19">
        <v>52367.374300000003</v>
      </c>
      <c r="D35" s="19">
        <v>3.3999999999999998E-3</v>
      </c>
      <c r="E35">
        <f t="shared" si="0"/>
        <v>62573.298034330022</v>
      </c>
      <c r="F35" s="15">
        <f t="shared" si="4"/>
        <v>62572.5</v>
      </c>
      <c r="G35">
        <f t="shared" si="3"/>
        <v>0.34590000000753207</v>
      </c>
      <c r="K35">
        <f t="shared" si="5"/>
        <v>0.34590000000753207</v>
      </c>
      <c r="O35">
        <f t="shared" ca="1" si="1"/>
        <v>0.34804759994065798</v>
      </c>
      <c r="Q35" s="2">
        <f t="shared" si="2"/>
        <v>37348.874300000003</v>
      </c>
    </row>
    <row r="36" spans="1:17">
      <c r="A36" t="s">
        <v>43</v>
      </c>
      <c r="B36" s="14" t="s">
        <v>42</v>
      </c>
      <c r="C36" s="19">
        <v>52367.378599999996</v>
      </c>
      <c r="D36" s="19">
        <v>3.3E-3</v>
      </c>
      <c r="E36">
        <f t="shared" si="0"/>
        <v>62573.307954964926</v>
      </c>
      <c r="F36" s="15">
        <f t="shared" si="4"/>
        <v>62572.5</v>
      </c>
      <c r="G36">
        <f t="shared" si="3"/>
        <v>0.35020000000076834</v>
      </c>
      <c r="K36">
        <f t="shared" si="5"/>
        <v>0.35020000000076834</v>
      </c>
      <c r="O36">
        <f t="shared" ca="1" si="1"/>
        <v>0.34804759994065798</v>
      </c>
      <c r="Q36" s="2">
        <f t="shared" si="2"/>
        <v>37348.878599999996</v>
      </c>
    </row>
    <row r="37" spans="1:17">
      <c r="A37" t="s">
        <v>43</v>
      </c>
      <c r="B37" s="14" t="s">
        <v>41</v>
      </c>
      <c r="C37" s="19">
        <v>52369.324800000002</v>
      </c>
      <c r="D37" s="19">
        <v>9.2999999999999992E-3</v>
      </c>
      <c r="E37">
        <f t="shared" si="0"/>
        <v>62577.798080472508</v>
      </c>
      <c r="F37" s="15">
        <f t="shared" si="4"/>
        <v>62577</v>
      </c>
      <c r="G37">
        <f t="shared" si="3"/>
        <v>0.34592000000702683</v>
      </c>
      <c r="K37">
        <f t="shared" si="5"/>
        <v>0.34592000000702683</v>
      </c>
      <c r="O37">
        <f t="shared" ca="1" si="1"/>
        <v>0.34806941501608296</v>
      </c>
      <c r="Q37" s="2">
        <f t="shared" si="2"/>
        <v>37350.824800000002</v>
      </c>
    </row>
    <row r="38" spans="1:17">
      <c r="A38" t="s">
        <v>43</v>
      </c>
      <c r="B38" s="14" t="s">
        <v>41</v>
      </c>
      <c r="C38" s="19">
        <v>52369.326099999998</v>
      </c>
      <c r="D38" s="19">
        <v>3.8999999999999998E-3</v>
      </c>
      <c r="E38">
        <f t="shared" si="0"/>
        <v>62577.801079734221</v>
      </c>
      <c r="F38" s="15">
        <f t="shared" si="4"/>
        <v>62577</v>
      </c>
      <c r="G38">
        <f t="shared" si="3"/>
        <v>0.3472200000032899</v>
      </c>
      <c r="K38">
        <f t="shared" si="5"/>
        <v>0.3472200000032899</v>
      </c>
      <c r="O38">
        <f t="shared" ca="1" si="1"/>
        <v>0.34806941501608296</v>
      </c>
      <c r="Q38" s="2">
        <f t="shared" si="2"/>
        <v>37350.826099999998</v>
      </c>
    </row>
    <row r="39" spans="1:17">
      <c r="A39" t="s">
        <v>43</v>
      </c>
      <c r="B39" s="14" t="s">
        <v>41</v>
      </c>
      <c r="C39" s="19">
        <v>52369.328999999998</v>
      </c>
      <c r="D39" s="19">
        <v>3.8E-3</v>
      </c>
      <c r="E39">
        <f t="shared" si="0"/>
        <v>62577.807770394975</v>
      </c>
      <c r="F39" s="15">
        <f t="shared" si="4"/>
        <v>62577</v>
      </c>
      <c r="G39">
        <f t="shared" si="3"/>
        <v>0.35012000000278931</v>
      </c>
      <c r="K39">
        <f t="shared" si="5"/>
        <v>0.35012000000278931</v>
      </c>
      <c r="O39">
        <f t="shared" ca="1" si="1"/>
        <v>0.34806941501608296</v>
      </c>
      <c r="Q39" s="2">
        <f t="shared" si="2"/>
        <v>37350.828999999998</v>
      </c>
    </row>
    <row r="40" spans="1:17">
      <c r="A40" t="s">
        <v>43</v>
      </c>
      <c r="B40" s="14" t="s">
        <v>41</v>
      </c>
      <c r="C40" s="19">
        <v>52668.4</v>
      </c>
      <c r="D40" s="19">
        <v>6.1000000000000004E-3</v>
      </c>
      <c r="E40">
        <f t="shared" si="0"/>
        <v>63267.801771871542</v>
      </c>
      <c r="F40" s="15">
        <f t="shared" si="4"/>
        <v>63267</v>
      </c>
      <c r="G40">
        <f t="shared" si="3"/>
        <v>0.34752000000298722</v>
      </c>
      <c r="K40">
        <f t="shared" si="5"/>
        <v>0.34752000000298722</v>
      </c>
      <c r="O40">
        <f t="shared" ca="1" si="1"/>
        <v>0.35141439324791274</v>
      </c>
      <c r="Q40" s="2">
        <f t="shared" si="2"/>
        <v>37649.9</v>
      </c>
    </row>
    <row r="41" spans="1:17">
      <c r="A41" t="s">
        <v>43</v>
      </c>
      <c r="B41" s="14" t="s">
        <v>41</v>
      </c>
      <c r="C41" s="19">
        <v>52668.403100000003</v>
      </c>
      <c r="D41" s="19">
        <v>6.4999999999999997E-3</v>
      </c>
      <c r="E41">
        <f t="shared" si="0"/>
        <v>63267.808923957193</v>
      </c>
      <c r="F41" s="15">
        <f t="shared" si="4"/>
        <v>63267</v>
      </c>
      <c r="G41">
        <f t="shared" si="3"/>
        <v>0.35062000000471016</v>
      </c>
      <c r="K41">
        <f t="shared" si="5"/>
        <v>0.35062000000471016</v>
      </c>
      <c r="O41">
        <f t="shared" ca="1" si="1"/>
        <v>0.35141439324791274</v>
      </c>
      <c r="Q41" s="2">
        <f t="shared" si="2"/>
        <v>37649.903100000003</v>
      </c>
    </row>
    <row r="42" spans="1:17">
      <c r="A42" t="s">
        <v>43</v>
      </c>
      <c r="B42" s="14" t="s">
        <v>41</v>
      </c>
      <c r="C42" s="19">
        <v>52668.403700000003</v>
      </c>
      <c r="D42" s="19">
        <v>6.3E-3</v>
      </c>
      <c r="E42">
        <f t="shared" si="0"/>
        <v>63267.810308231827</v>
      </c>
      <c r="F42" s="15">
        <f t="shared" si="4"/>
        <v>63267</v>
      </c>
      <c r="G42">
        <f t="shared" si="3"/>
        <v>0.3512200000041048</v>
      </c>
      <c r="K42">
        <f t="shared" si="5"/>
        <v>0.3512200000041048</v>
      </c>
      <c r="O42">
        <f t="shared" ca="1" si="1"/>
        <v>0.35141439324791274</v>
      </c>
      <c r="Q42" s="2">
        <f t="shared" si="2"/>
        <v>37649.903700000003</v>
      </c>
    </row>
    <row r="43" spans="1:17">
      <c r="A43" s="37" t="s">
        <v>58</v>
      </c>
      <c r="B43" s="38" t="s">
        <v>41</v>
      </c>
      <c r="C43" s="37">
        <v>52717.377</v>
      </c>
      <c r="D43" s="37">
        <v>4.0000000000000001E-3</v>
      </c>
      <c r="E43">
        <f t="shared" si="0"/>
        <v>63380.797803617577</v>
      </c>
      <c r="F43" s="15">
        <f t="shared" si="4"/>
        <v>63380</v>
      </c>
      <c r="G43">
        <f t="shared" si="3"/>
        <v>0.34580000000278233</v>
      </c>
      <c r="I43">
        <f>G43</f>
        <v>0.34580000000278233</v>
      </c>
      <c r="O43">
        <f t="shared" ca="1" si="1"/>
        <v>0.35196219403080659</v>
      </c>
      <c r="Q43" s="2">
        <f t="shared" si="2"/>
        <v>37698.877</v>
      </c>
    </row>
    <row r="44" spans="1:17">
      <c r="A44" s="31" t="s">
        <v>54</v>
      </c>
      <c r="B44" s="14" t="s">
        <v>42</v>
      </c>
      <c r="C44" s="32">
        <v>53344.576800000003</v>
      </c>
      <c r="D44" s="32">
        <v>5.0000000000000001E-4</v>
      </c>
      <c r="E44">
        <f t="shared" si="0"/>
        <v>64827.82576596531</v>
      </c>
      <c r="F44" s="15">
        <f t="shared" si="4"/>
        <v>64827</v>
      </c>
      <c r="G44">
        <f t="shared" si="3"/>
        <v>0.35792000000219559</v>
      </c>
      <c r="K44">
        <f>G44</f>
        <v>0.35792000000219559</v>
      </c>
      <c r="O44">
        <f t="shared" ca="1" si="1"/>
        <v>0.35897695272857139</v>
      </c>
      <c r="Q44" s="2">
        <f t="shared" si="2"/>
        <v>38326.076800000003</v>
      </c>
    </row>
    <row r="45" spans="1:17">
      <c r="A45" s="31" t="s">
        <v>54</v>
      </c>
      <c r="B45" s="14" t="s">
        <v>41</v>
      </c>
      <c r="C45" s="32">
        <v>53410.458200000001</v>
      </c>
      <c r="D45" s="32">
        <v>5.0000000000000001E-4</v>
      </c>
      <c r="E45">
        <f t="shared" si="0"/>
        <v>64979.822351421193</v>
      </c>
      <c r="F45" s="15">
        <f t="shared" si="4"/>
        <v>64979</v>
      </c>
      <c r="G45">
        <f t="shared" si="3"/>
        <v>0.35644000000320375</v>
      </c>
      <c r="K45">
        <f>G45</f>
        <v>0.35644000000320375</v>
      </c>
      <c r="O45">
        <f t="shared" ca="1" si="1"/>
        <v>0.35971381749848175</v>
      </c>
      <c r="Q45" s="2">
        <f t="shared" si="2"/>
        <v>38391.958200000001</v>
      </c>
    </row>
    <row r="46" spans="1:17">
      <c r="A46" s="17" t="s">
        <v>48</v>
      </c>
      <c r="B46" s="12"/>
      <c r="C46" s="18">
        <v>53768.482600000003</v>
      </c>
      <c r="D46" s="18">
        <v>1.6000000000000001E-3</v>
      </c>
      <c r="E46">
        <f t="shared" si="0"/>
        <v>65805.82918050942</v>
      </c>
      <c r="F46" s="15">
        <f t="shared" si="4"/>
        <v>65805</v>
      </c>
      <c r="G46">
        <f t="shared" si="3"/>
        <v>0.35940000000118744</v>
      </c>
      <c r="J46">
        <f>G46</f>
        <v>0.35940000000118744</v>
      </c>
      <c r="O46">
        <f t="shared" ca="1" si="1"/>
        <v>0.36371809578759973</v>
      </c>
      <c r="Q46" s="2">
        <f t="shared" si="2"/>
        <v>38749.982600000003</v>
      </c>
    </row>
    <row r="47" spans="1:17">
      <c r="A47" s="53" t="s">
        <v>153</v>
      </c>
      <c r="B47" s="54" t="s">
        <v>42</v>
      </c>
      <c r="C47" s="53">
        <v>55615.394699999997</v>
      </c>
      <c r="D47" s="53" t="s">
        <v>70</v>
      </c>
      <c r="E47">
        <f t="shared" si="0"/>
        <v>70066.885151347364</v>
      </c>
      <c r="F47" s="15">
        <f t="shared" si="4"/>
        <v>70066</v>
      </c>
      <c r="G47">
        <f t="shared" si="3"/>
        <v>0.38365999999950873</v>
      </c>
      <c r="K47">
        <f>+G47</f>
        <v>0.38365999999950873</v>
      </c>
      <c r="O47">
        <f t="shared" ca="1" si="1"/>
        <v>0.38437454831778345</v>
      </c>
      <c r="Q47" s="2">
        <f t="shared" si="2"/>
        <v>40596.894699999997</v>
      </c>
    </row>
    <row r="48" spans="1:17">
      <c r="A48" s="37" t="s">
        <v>59</v>
      </c>
      <c r="B48" s="38" t="s">
        <v>42</v>
      </c>
      <c r="C48" s="37">
        <v>55615.612200000003</v>
      </c>
      <c r="D48" s="37">
        <v>2.9999999999999997E-4</v>
      </c>
      <c r="E48">
        <f t="shared" si="0"/>
        <v>70067.386950904402</v>
      </c>
      <c r="F48" s="15">
        <f t="shared" si="4"/>
        <v>70066.5</v>
      </c>
      <c r="G48">
        <f t="shared" si="3"/>
        <v>0.3844400000089081</v>
      </c>
      <c r="K48">
        <f>G48</f>
        <v>0.3844400000089081</v>
      </c>
      <c r="O48">
        <f t="shared" ca="1" si="1"/>
        <v>0.38437697221505285</v>
      </c>
      <c r="Q48" s="2">
        <f t="shared" si="2"/>
        <v>40597.112200000003</v>
      </c>
    </row>
    <row r="49" spans="1:17">
      <c r="A49" s="37"/>
      <c r="B49" s="38"/>
      <c r="C49" s="37"/>
      <c r="D49" s="37"/>
      <c r="F49" s="15"/>
      <c r="Q49" s="2"/>
    </row>
    <row r="50" spans="1:17">
      <c r="C50" s="18"/>
      <c r="D50" s="18"/>
    </row>
    <row r="51" spans="1:17">
      <c r="C51" s="18"/>
      <c r="D51" s="18"/>
    </row>
    <row r="52" spans="1:17">
      <c r="C52" s="18"/>
      <c r="D52" s="18"/>
    </row>
    <row r="53" spans="1:17">
      <c r="C53" s="18"/>
      <c r="D53" s="18"/>
    </row>
    <row r="54" spans="1:17">
      <c r="C54" s="18"/>
      <c r="D54" s="18"/>
    </row>
    <row r="55" spans="1:17">
      <c r="C55" s="18"/>
      <c r="D55" s="18"/>
    </row>
    <row r="56" spans="1:17">
      <c r="C56" s="18"/>
      <c r="D56" s="18"/>
    </row>
    <row r="57" spans="1:17">
      <c r="C57" s="18"/>
      <c r="D57" s="18"/>
    </row>
    <row r="58" spans="1:17">
      <c r="C58" s="18"/>
      <c r="D58" s="18"/>
    </row>
    <row r="59" spans="1:17">
      <c r="C59" s="18"/>
      <c r="D59" s="18"/>
    </row>
    <row r="60" spans="1:17">
      <c r="C60" s="18"/>
      <c r="D60" s="18"/>
    </row>
    <row r="61" spans="1:17">
      <c r="C61" s="18"/>
      <c r="D61" s="18"/>
    </row>
    <row r="62" spans="1:17">
      <c r="C62" s="18"/>
      <c r="D62" s="18"/>
    </row>
    <row r="63" spans="1:17">
      <c r="C63" s="18"/>
      <c r="D63" s="18"/>
    </row>
    <row r="64" spans="1:17">
      <c r="C64" s="18"/>
      <c r="D64" s="18"/>
    </row>
    <row r="65" spans="3:4">
      <c r="C65" s="18"/>
      <c r="D65" s="18"/>
    </row>
    <row r="66" spans="3:4">
      <c r="C66" s="18"/>
      <c r="D66" s="18"/>
    </row>
    <row r="67" spans="3:4">
      <c r="C67" s="18"/>
      <c r="D67" s="18"/>
    </row>
    <row r="68" spans="3:4">
      <c r="C68" s="18"/>
      <c r="D68" s="18"/>
    </row>
    <row r="69" spans="3:4">
      <c r="C69" s="18"/>
      <c r="D69" s="18"/>
    </row>
    <row r="70" spans="3:4">
      <c r="C70" s="18"/>
      <c r="D70" s="18"/>
    </row>
    <row r="71" spans="3:4">
      <c r="C71" s="18"/>
      <c r="D71" s="18"/>
    </row>
    <row r="72" spans="3:4">
      <c r="C72" s="18"/>
      <c r="D72" s="18"/>
    </row>
    <row r="73" spans="3:4">
      <c r="C73" s="18"/>
      <c r="D73" s="18"/>
    </row>
    <row r="74" spans="3:4">
      <c r="C74" s="18"/>
      <c r="D74" s="18"/>
    </row>
    <row r="75" spans="3:4">
      <c r="C75" s="18"/>
      <c r="D75" s="18"/>
    </row>
    <row r="76" spans="3:4">
      <c r="C76" s="18"/>
      <c r="D76" s="18"/>
    </row>
    <row r="77" spans="3:4">
      <c r="C77" s="18"/>
      <c r="D77" s="18"/>
    </row>
    <row r="78" spans="3:4">
      <c r="C78" s="18"/>
      <c r="D78" s="18"/>
    </row>
    <row r="79" spans="3:4">
      <c r="C79" s="18"/>
      <c r="D79" s="18"/>
    </row>
    <row r="80" spans="3:4">
      <c r="C80" s="18"/>
      <c r="D80" s="18"/>
    </row>
    <row r="81" spans="3:4">
      <c r="C81" s="18"/>
      <c r="D81" s="18"/>
    </row>
    <row r="82" spans="3:4">
      <c r="C82" s="18"/>
      <c r="D82" s="18"/>
    </row>
    <row r="83" spans="3:4">
      <c r="C83" s="18"/>
      <c r="D83" s="18"/>
    </row>
    <row r="84" spans="3:4">
      <c r="C84" s="18"/>
      <c r="D84" s="18"/>
    </row>
    <row r="85" spans="3:4">
      <c r="C85" s="18"/>
      <c r="D85" s="18"/>
    </row>
    <row r="86" spans="3:4">
      <c r="C86" s="18"/>
      <c r="D86" s="18"/>
    </row>
    <row r="87" spans="3:4">
      <c r="C87" s="18"/>
      <c r="D87" s="18"/>
    </row>
    <row r="88" spans="3:4">
      <c r="C88" s="18"/>
      <c r="D88" s="18"/>
    </row>
    <row r="89" spans="3:4">
      <c r="C89" s="18"/>
      <c r="D89" s="18"/>
    </row>
    <row r="90" spans="3:4">
      <c r="C90" s="18"/>
      <c r="D90" s="18"/>
    </row>
    <row r="91" spans="3:4">
      <c r="C91" s="18"/>
      <c r="D91" s="18"/>
    </row>
    <row r="92" spans="3:4">
      <c r="C92" s="18"/>
      <c r="D92" s="18"/>
    </row>
    <row r="93" spans="3:4">
      <c r="C93" s="18"/>
      <c r="D93" s="18"/>
    </row>
    <row r="94" spans="3:4">
      <c r="C94" s="18"/>
      <c r="D94" s="18"/>
    </row>
    <row r="95" spans="3:4">
      <c r="C95" s="18"/>
      <c r="D95" s="18"/>
    </row>
    <row r="96" spans="3:4">
      <c r="C96" s="18"/>
      <c r="D96" s="18"/>
    </row>
    <row r="97" spans="3:4">
      <c r="C97" s="18"/>
      <c r="D97" s="18"/>
    </row>
    <row r="98" spans="3:4">
      <c r="C98" s="18"/>
      <c r="D98" s="18"/>
    </row>
    <row r="99" spans="3:4">
      <c r="C99" s="18"/>
      <c r="D99" s="18"/>
    </row>
    <row r="100" spans="3:4">
      <c r="C100" s="18"/>
      <c r="D100" s="18"/>
    </row>
    <row r="101" spans="3:4">
      <c r="C101" s="18"/>
      <c r="D101" s="18"/>
    </row>
    <row r="102" spans="3:4">
      <c r="C102" s="18"/>
      <c r="D102" s="18"/>
    </row>
    <row r="103" spans="3:4">
      <c r="C103" s="18"/>
      <c r="D103" s="18"/>
    </row>
    <row r="104" spans="3:4">
      <c r="C104" s="18"/>
      <c r="D104" s="18"/>
    </row>
    <row r="105" spans="3:4">
      <c r="C105" s="18"/>
      <c r="D105" s="18"/>
    </row>
    <row r="106" spans="3:4">
      <c r="C106" s="18"/>
      <c r="D106" s="18"/>
    </row>
    <row r="107" spans="3:4">
      <c r="C107" s="18"/>
      <c r="D107" s="18"/>
    </row>
    <row r="108" spans="3:4">
      <c r="C108" s="18"/>
      <c r="D108" s="18"/>
    </row>
    <row r="109" spans="3:4">
      <c r="C109" s="18"/>
      <c r="D109" s="18"/>
    </row>
    <row r="110" spans="3:4">
      <c r="C110" s="18"/>
      <c r="D110" s="18"/>
    </row>
    <row r="111" spans="3:4">
      <c r="C111" s="18"/>
      <c r="D111" s="18"/>
    </row>
    <row r="112" spans="3:4">
      <c r="C112" s="18"/>
      <c r="D112" s="18"/>
    </row>
    <row r="113" spans="3:4">
      <c r="C113" s="18"/>
      <c r="D113" s="1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workbookViewId="0"/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</row>
    <row r="2" spans="1:4">
      <c r="A2" t="s">
        <v>26</v>
      </c>
    </row>
    <row r="4" spans="1:4">
      <c r="A4" s="8" t="s">
        <v>0</v>
      </c>
      <c r="C4" s="3">
        <v>25245.603999999999</v>
      </c>
      <c r="D4" s="4">
        <v>0.43343999999999999</v>
      </c>
    </row>
    <row r="6" spans="1:4">
      <c r="A6" s="8" t="s">
        <v>1</v>
      </c>
    </row>
    <row r="7" spans="1:4">
      <c r="A7" t="s">
        <v>2</v>
      </c>
      <c r="C7">
        <f>+C4</f>
        <v>25245.603999999999</v>
      </c>
    </row>
    <row r="8" spans="1:4">
      <c r="A8" t="s">
        <v>3</v>
      </c>
      <c r="C8">
        <f>+D4</f>
        <v>0.43343999999999999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INTERCEPT(G21:G993,F21:F993)</f>
        <v>-0.19269977603003857</v>
      </c>
      <c r="D11" s="6"/>
    </row>
    <row r="12" spans="1:4">
      <c r="A12" t="s">
        <v>17</v>
      </c>
      <c r="C12">
        <f>SLOPE(G21:G993,F21:F993)</f>
        <v>5.1975324750640755E-6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 s="11">
        <f>+D15+C8/2</f>
        <v>51876.720519999995</v>
      </c>
      <c r="D15" s="12">
        <v>51876.503799999999</v>
      </c>
    </row>
    <row r="16" spans="1:4">
      <c r="A16" s="8" t="s">
        <v>4</v>
      </c>
      <c r="C16">
        <f>+C8+C12</f>
        <v>0.43344519753247507</v>
      </c>
    </row>
    <row r="17" spans="1:31" ht="13.5" thickBot="1"/>
    <row r="18" spans="1:31">
      <c r="A18" s="8" t="s">
        <v>5</v>
      </c>
      <c r="C18" s="3">
        <f>+C15</f>
        <v>51876.720519999995</v>
      </c>
      <c r="D18" s="4">
        <f>+C16</f>
        <v>0.43344519753247507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30</v>
      </c>
      <c r="J20" s="10" t="s">
        <v>44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>
        <v>25245.603999999999</v>
      </c>
      <c r="D21" s="6" t="s">
        <v>14</v>
      </c>
      <c r="E21">
        <f t="shared" ref="E21:E27" si="0">+(C21-C$7)/C$8</f>
        <v>0</v>
      </c>
      <c r="F21">
        <f>ROUND(2*E21,0)/2</f>
        <v>0</v>
      </c>
      <c r="H21" s="13">
        <v>0</v>
      </c>
      <c r="O21">
        <f t="shared" ref="O21:O27" si="1">+C$11+C$12*F21</f>
        <v>-0.19269977603003857</v>
      </c>
      <c r="Q21" s="2">
        <f t="shared" ref="Q21:Q27" si="2">+C21-15018.5</f>
        <v>10227.103999999999</v>
      </c>
    </row>
    <row r="22" spans="1:31">
      <c r="A22" t="s">
        <v>33</v>
      </c>
      <c r="C22" s="11">
        <v>48681.351999999999</v>
      </c>
      <c r="D22">
        <v>7.0000000000000001E-3</v>
      </c>
      <c r="E22">
        <f t="shared" si="0"/>
        <v>54069.186046511626</v>
      </c>
      <c r="F22">
        <f>ROUND(2*E22,0)/2</f>
        <v>54069</v>
      </c>
      <c r="G22">
        <f t="shared" ref="G22:G27" si="3">+C22-(C$7+F22*C$8)</f>
        <v>8.0640000000130385E-2</v>
      </c>
      <c r="I22">
        <f>+G22</f>
        <v>8.0640000000130385E-2</v>
      </c>
      <c r="O22">
        <f t="shared" si="1"/>
        <v>8.832560736420092E-2</v>
      </c>
      <c r="Q22" s="2">
        <f t="shared" si="2"/>
        <v>33662.851999999999</v>
      </c>
      <c r="AA22">
        <v>19</v>
      </c>
      <c r="AC22" t="s">
        <v>32</v>
      </c>
      <c r="AE22" t="s">
        <v>34</v>
      </c>
    </row>
    <row r="23" spans="1:31">
      <c r="A23" t="s">
        <v>35</v>
      </c>
      <c r="C23" s="11">
        <v>49065.392999999996</v>
      </c>
      <c r="D23">
        <v>8.0000000000000002E-3</v>
      </c>
      <c r="E23">
        <f t="shared" si="0"/>
        <v>54955.21640826873</v>
      </c>
      <c r="F23">
        <f>ROUND(2*E23,0)/2</f>
        <v>54955</v>
      </c>
      <c r="G23">
        <f t="shared" si="3"/>
        <v>9.3800000002374873E-2</v>
      </c>
      <c r="I23">
        <f>+G23</f>
        <v>9.3800000002374873E-2</v>
      </c>
      <c r="O23">
        <f t="shared" si="1"/>
        <v>9.2930621137107705E-2</v>
      </c>
      <c r="Q23" s="2">
        <f t="shared" si="2"/>
        <v>34046.892999999996</v>
      </c>
      <c r="AA23">
        <v>14</v>
      </c>
      <c r="AC23" t="s">
        <v>32</v>
      </c>
      <c r="AE23" t="s">
        <v>34</v>
      </c>
    </row>
    <row r="24" spans="1:31">
      <c r="A24" t="s">
        <v>36</v>
      </c>
      <c r="C24" s="11">
        <v>49416.485000000001</v>
      </c>
      <c r="D24">
        <v>5.0000000000000001E-3</v>
      </c>
      <c r="E24">
        <f t="shared" si="0"/>
        <v>55765.229328165377</v>
      </c>
      <c r="F24">
        <f>ROUND(2*E24,0)/2</f>
        <v>55765</v>
      </c>
      <c r="G24">
        <f t="shared" si="3"/>
        <v>9.9400000006426126E-2</v>
      </c>
      <c r="I24">
        <f>+G24</f>
        <v>9.9400000006426126E-2</v>
      </c>
      <c r="O24">
        <f t="shared" si="1"/>
        <v>9.7140622441909574E-2</v>
      </c>
      <c r="Q24" s="2">
        <f t="shared" si="2"/>
        <v>34397.985000000001</v>
      </c>
      <c r="AA24">
        <v>16</v>
      </c>
      <c r="AC24" t="s">
        <v>32</v>
      </c>
      <c r="AE24" t="s">
        <v>34</v>
      </c>
    </row>
    <row r="25" spans="1:31">
      <c r="A25" t="s">
        <v>38</v>
      </c>
      <c r="C25" s="11">
        <v>50104.368000000002</v>
      </c>
      <c r="D25">
        <v>5.0000000000000001E-3</v>
      </c>
      <c r="E25">
        <f t="shared" si="0"/>
        <v>57352.26098191215</v>
      </c>
      <c r="F25">
        <f>ROUND(2*E25,0)/2-0.5</f>
        <v>57352</v>
      </c>
      <c r="G25">
        <f t="shared" si="3"/>
        <v>0.11312000000179978</v>
      </c>
      <c r="I25">
        <f>+G25</f>
        <v>0.11312000000179978</v>
      </c>
      <c r="O25">
        <f t="shared" si="1"/>
        <v>0.10538910647983629</v>
      </c>
      <c r="Q25" s="2">
        <f t="shared" si="2"/>
        <v>35085.868000000002</v>
      </c>
      <c r="AA25">
        <v>12</v>
      </c>
      <c r="AC25" t="s">
        <v>37</v>
      </c>
      <c r="AE25" t="s">
        <v>34</v>
      </c>
    </row>
    <row r="26" spans="1:31">
      <c r="A26" t="s">
        <v>39</v>
      </c>
      <c r="C26" s="11">
        <v>50545.383000000002</v>
      </c>
      <c r="D26">
        <v>0.01</v>
      </c>
      <c r="E26">
        <f t="shared" si="0"/>
        <v>58369.737449243272</v>
      </c>
      <c r="F26">
        <f>ROUND(2*E26,0)/2</f>
        <v>58369.5</v>
      </c>
      <c r="G26">
        <f t="shared" si="3"/>
        <v>0.10292000000481494</v>
      </c>
      <c r="I26">
        <f>+G26</f>
        <v>0.10292000000481494</v>
      </c>
      <c r="O26">
        <f t="shared" si="1"/>
        <v>0.11067759577321395</v>
      </c>
      <c r="Q26" s="2">
        <f t="shared" si="2"/>
        <v>35526.883000000002</v>
      </c>
      <c r="AA26">
        <v>10</v>
      </c>
      <c r="AC26" t="s">
        <v>37</v>
      </c>
      <c r="AE26" t="s">
        <v>34</v>
      </c>
    </row>
    <row r="27" spans="1:31">
      <c r="A27" t="s">
        <v>40</v>
      </c>
      <c r="C27" s="12">
        <v>51876.503799999999</v>
      </c>
      <c r="D27" s="12">
        <v>4.8999999999999998E-3</v>
      </c>
      <c r="E27">
        <f t="shared" si="0"/>
        <v>61440.798726467328</v>
      </c>
      <c r="F27" s="13">
        <f>ROUND(2*E27,0)/2-0.5</f>
        <v>61440.5</v>
      </c>
      <c r="G27">
        <f t="shared" si="3"/>
        <v>0.12947999999596504</v>
      </c>
      <c r="J27">
        <f>G27</f>
        <v>0.12947999999596504</v>
      </c>
      <c r="O27">
        <f t="shared" si="1"/>
        <v>0.12663921800413575</v>
      </c>
      <c r="Q27" s="2">
        <f t="shared" si="2"/>
        <v>36858.003799999999</v>
      </c>
    </row>
    <row r="28" spans="1:31">
      <c r="A28" t="s">
        <v>43</v>
      </c>
      <c r="B28" s="14" t="s">
        <v>41</v>
      </c>
      <c r="C28" s="12">
        <v>51580.471899999997</v>
      </c>
      <c r="D28" s="12">
        <v>4.7000000000000002E-3</v>
      </c>
      <c r="E28">
        <f t="shared" ref="E28:E41" si="4">+(C28-C$7)/C$8</f>
        <v>60757.816306755252</v>
      </c>
      <c r="F28" s="13">
        <f t="shared" ref="F28:F41" si="5">ROUND(2*E28,0)/2-0.5</f>
        <v>60757.5</v>
      </c>
      <c r="G28">
        <f t="shared" ref="G28:G41" si="6">+C28-(C$7+F28*C$8)</f>
        <v>0.13709999999991851</v>
      </c>
      <c r="J28">
        <f t="shared" ref="J28:J41" si="7">G28</f>
        <v>0.13709999999991851</v>
      </c>
      <c r="O28">
        <f t="shared" ref="O28:O41" si="8">+C$11+C$12*F28</f>
        <v>0.12308930332366697</v>
      </c>
      <c r="Q28" s="2">
        <f t="shared" ref="Q28:Q41" si="9">+C28-15018.5</f>
        <v>36561.971899999997</v>
      </c>
    </row>
    <row r="29" spans="1:31">
      <c r="A29" t="s">
        <v>43</v>
      </c>
      <c r="B29" s="14" t="s">
        <v>41</v>
      </c>
      <c r="C29" s="12">
        <v>51965.358800000002</v>
      </c>
      <c r="D29" s="12">
        <v>3.0000000000000001E-3</v>
      </c>
      <c r="E29">
        <f t="shared" si="4"/>
        <v>61645.79826504246</v>
      </c>
      <c r="F29" s="13">
        <f t="shared" si="5"/>
        <v>61645.5</v>
      </c>
      <c r="G29">
        <f t="shared" si="6"/>
        <v>0.12928000000829343</v>
      </c>
      <c r="J29">
        <f t="shared" si="7"/>
        <v>0.12928000000829343</v>
      </c>
      <c r="O29">
        <f t="shared" si="8"/>
        <v>0.1277047121615239</v>
      </c>
      <c r="Q29" s="2">
        <f t="shared" si="9"/>
        <v>36946.858800000002</v>
      </c>
    </row>
    <row r="30" spans="1:31">
      <c r="A30" t="s">
        <v>43</v>
      </c>
      <c r="B30" s="14" t="s">
        <v>42</v>
      </c>
      <c r="C30" s="12">
        <v>52002.414900000003</v>
      </c>
      <c r="D30" s="12">
        <v>2E-3</v>
      </c>
      <c r="E30">
        <f t="shared" si="4"/>
        <v>61731.291297526775</v>
      </c>
      <c r="F30" s="13">
        <f t="shared" si="5"/>
        <v>61731</v>
      </c>
      <c r="G30">
        <f t="shared" si="6"/>
        <v>0.12626000000454951</v>
      </c>
      <c r="J30">
        <f t="shared" si="7"/>
        <v>0.12626000000454951</v>
      </c>
      <c r="O30">
        <f t="shared" si="8"/>
        <v>0.12814910118814188</v>
      </c>
      <c r="Q30" s="2">
        <f t="shared" si="9"/>
        <v>36983.914900000003</v>
      </c>
    </row>
    <row r="31" spans="1:31">
      <c r="A31" t="s">
        <v>43</v>
      </c>
      <c r="B31" s="14" t="s">
        <v>41</v>
      </c>
      <c r="C31" s="12">
        <v>52279.607199999999</v>
      </c>
      <c r="D31" s="12">
        <v>4.3E-3</v>
      </c>
      <c r="E31">
        <f t="shared" si="4"/>
        <v>62370.808416389809</v>
      </c>
      <c r="F31" s="13">
        <f t="shared" si="5"/>
        <v>62370.5</v>
      </c>
      <c r="G31">
        <f t="shared" si="6"/>
        <v>0.13367999999900348</v>
      </c>
      <c r="J31">
        <f t="shared" si="7"/>
        <v>0.13367999999900348</v>
      </c>
      <c r="O31">
        <f t="shared" si="8"/>
        <v>0.13147292320594534</v>
      </c>
      <c r="Q31" s="2">
        <f t="shared" si="9"/>
        <v>37261.107199999999</v>
      </c>
    </row>
    <row r="32" spans="1:31">
      <c r="A32" t="s">
        <v>43</v>
      </c>
      <c r="B32" s="14" t="s">
        <v>41</v>
      </c>
      <c r="C32" s="12">
        <v>52279.606</v>
      </c>
      <c r="D32" s="12">
        <v>5.0000000000000001E-3</v>
      </c>
      <c r="E32">
        <f t="shared" si="4"/>
        <v>62370.805647840534</v>
      </c>
      <c r="F32" s="13">
        <f t="shared" si="5"/>
        <v>62370.5</v>
      </c>
      <c r="G32">
        <f t="shared" si="6"/>
        <v>0.1324800000002142</v>
      </c>
      <c r="J32">
        <f t="shared" si="7"/>
        <v>0.1324800000002142</v>
      </c>
      <c r="O32">
        <f t="shared" si="8"/>
        <v>0.13147292320594534</v>
      </c>
      <c r="Q32" s="2">
        <f t="shared" si="9"/>
        <v>37261.106</v>
      </c>
    </row>
    <row r="33" spans="1:17">
      <c r="A33" t="s">
        <v>43</v>
      </c>
      <c r="B33" s="14" t="s">
        <v>41</v>
      </c>
      <c r="C33" s="12">
        <v>52362.394</v>
      </c>
      <c r="D33" s="12">
        <v>5.5999999999999999E-3</v>
      </c>
      <c r="E33">
        <f t="shared" si="4"/>
        <v>62561.807862679962</v>
      </c>
      <c r="F33" s="13">
        <f t="shared" si="5"/>
        <v>62561.5</v>
      </c>
      <c r="G33">
        <f t="shared" si="6"/>
        <v>0.13344000000506639</v>
      </c>
      <c r="J33">
        <f t="shared" si="7"/>
        <v>0.13344000000506639</v>
      </c>
      <c r="O33">
        <f t="shared" si="8"/>
        <v>0.13246565190868259</v>
      </c>
      <c r="Q33" s="2">
        <f t="shared" si="9"/>
        <v>37343.894</v>
      </c>
    </row>
    <row r="34" spans="1:17">
      <c r="A34" t="s">
        <v>43</v>
      </c>
      <c r="B34" s="14" t="s">
        <v>42</v>
      </c>
      <c r="C34" s="12">
        <v>52367.378599999996</v>
      </c>
      <c r="D34" s="12">
        <v>3.3E-3</v>
      </c>
      <c r="E34">
        <f t="shared" si="4"/>
        <v>62573.307954964926</v>
      </c>
      <c r="F34" s="13">
        <f t="shared" si="5"/>
        <v>62573</v>
      </c>
      <c r="G34">
        <f t="shared" si="6"/>
        <v>0.13347999999677995</v>
      </c>
      <c r="J34">
        <f t="shared" si="7"/>
        <v>0.13347999999677995</v>
      </c>
      <c r="O34">
        <f t="shared" si="8"/>
        <v>0.1325254235321458</v>
      </c>
      <c r="Q34" s="2">
        <f t="shared" si="9"/>
        <v>37348.878599999996</v>
      </c>
    </row>
    <row r="35" spans="1:17">
      <c r="A35" t="s">
        <v>43</v>
      </c>
      <c r="B35" s="14" t="s">
        <v>42</v>
      </c>
      <c r="C35" s="12">
        <v>52367.374300000003</v>
      </c>
      <c r="D35" s="12">
        <v>3.3999999999999998E-3</v>
      </c>
      <c r="E35">
        <f t="shared" si="4"/>
        <v>62573.298034330022</v>
      </c>
      <c r="F35" s="13">
        <f t="shared" si="5"/>
        <v>62573</v>
      </c>
      <c r="G35">
        <f t="shared" si="6"/>
        <v>0.12918000000354368</v>
      </c>
      <c r="J35">
        <f t="shared" si="7"/>
        <v>0.12918000000354368</v>
      </c>
      <c r="O35">
        <f t="shared" si="8"/>
        <v>0.1325254235321458</v>
      </c>
      <c r="Q35" s="2">
        <f t="shared" si="9"/>
        <v>37348.874300000003</v>
      </c>
    </row>
    <row r="36" spans="1:17">
      <c r="A36" t="s">
        <v>43</v>
      </c>
      <c r="B36" s="14" t="s">
        <v>41</v>
      </c>
      <c r="C36" s="12">
        <v>52369.324800000002</v>
      </c>
      <c r="D36" s="12">
        <v>9.2999999999999992E-3</v>
      </c>
      <c r="E36">
        <f t="shared" si="4"/>
        <v>62577.798080472508</v>
      </c>
      <c r="F36" s="13">
        <f t="shared" si="5"/>
        <v>62577.5</v>
      </c>
      <c r="G36">
        <f t="shared" si="6"/>
        <v>0.12920000000303844</v>
      </c>
      <c r="J36">
        <f t="shared" si="7"/>
        <v>0.12920000000303844</v>
      </c>
      <c r="O36">
        <f t="shared" si="8"/>
        <v>0.13254881242828359</v>
      </c>
      <c r="Q36" s="2">
        <f t="shared" si="9"/>
        <v>37350.824800000002</v>
      </c>
    </row>
    <row r="37" spans="1:17">
      <c r="A37" t="s">
        <v>43</v>
      </c>
      <c r="B37" s="14" t="s">
        <v>41</v>
      </c>
      <c r="C37" s="12">
        <v>52369.328999999998</v>
      </c>
      <c r="D37" s="12">
        <v>3.8E-3</v>
      </c>
      <c r="E37">
        <f t="shared" si="4"/>
        <v>62577.807770394975</v>
      </c>
      <c r="F37" s="13">
        <f t="shared" si="5"/>
        <v>62577.5</v>
      </c>
      <c r="G37">
        <f t="shared" si="6"/>
        <v>0.13339999999880092</v>
      </c>
      <c r="J37">
        <f t="shared" si="7"/>
        <v>0.13339999999880092</v>
      </c>
      <c r="O37">
        <f t="shared" si="8"/>
        <v>0.13254881242828359</v>
      </c>
      <c r="Q37" s="2">
        <f t="shared" si="9"/>
        <v>37350.828999999998</v>
      </c>
    </row>
    <row r="38" spans="1:17">
      <c r="A38" t="s">
        <v>43</v>
      </c>
      <c r="B38" s="14" t="s">
        <v>41</v>
      </c>
      <c r="C38" s="12">
        <v>52369.326099999998</v>
      </c>
      <c r="D38" s="12">
        <v>3.8999999999999998E-3</v>
      </c>
      <c r="E38">
        <f t="shared" si="4"/>
        <v>62577.801079734221</v>
      </c>
      <c r="F38" s="13">
        <f t="shared" si="5"/>
        <v>62577.5</v>
      </c>
      <c r="G38">
        <f t="shared" si="6"/>
        <v>0.13049999999930151</v>
      </c>
      <c r="J38">
        <f t="shared" si="7"/>
        <v>0.13049999999930151</v>
      </c>
      <c r="O38">
        <f t="shared" si="8"/>
        <v>0.13254881242828359</v>
      </c>
      <c r="Q38" s="2">
        <f t="shared" si="9"/>
        <v>37350.826099999998</v>
      </c>
    </row>
    <row r="39" spans="1:17">
      <c r="A39" t="s">
        <v>43</v>
      </c>
      <c r="B39" s="14" t="s">
        <v>41</v>
      </c>
      <c r="C39" s="12">
        <v>52668.403100000003</v>
      </c>
      <c r="D39" s="12">
        <v>6.4999999999999997E-3</v>
      </c>
      <c r="E39">
        <f t="shared" si="4"/>
        <v>63267.808923957193</v>
      </c>
      <c r="F39" s="13">
        <f t="shared" si="5"/>
        <v>63267.5</v>
      </c>
      <c r="G39">
        <f t="shared" si="6"/>
        <v>0.13390000000799773</v>
      </c>
      <c r="J39">
        <f t="shared" si="7"/>
        <v>0.13390000000799773</v>
      </c>
      <c r="O39">
        <f t="shared" si="8"/>
        <v>0.13613510983607779</v>
      </c>
      <c r="Q39" s="2">
        <f t="shared" si="9"/>
        <v>37649.903100000003</v>
      </c>
    </row>
    <row r="40" spans="1:17">
      <c r="A40" t="s">
        <v>43</v>
      </c>
      <c r="B40" s="14" t="s">
        <v>41</v>
      </c>
      <c r="C40" s="12">
        <v>52668.403700000003</v>
      </c>
      <c r="D40" s="12">
        <v>6.3E-3</v>
      </c>
      <c r="E40">
        <f t="shared" si="4"/>
        <v>63267.810308231827</v>
      </c>
      <c r="F40" s="13">
        <f t="shared" si="5"/>
        <v>63267.5</v>
      </c>
      <c r="G40">
        <f t="shared" si="6"/>
        <v>0.13450000000739237</v>
      </c>
      <c r="J40">
        <f t="shared" si="7"/>
        <v>0.13450000000739237</v>
      </c>
      <c r="O40">
        <f t="shared" si="8"/>
        <v>0.13613510983607779</v>
      </c>
      <c r="Q40" s="2">
        <f t="shared" si="9"/>
        <v>37649.903700000003</v>
      </c>
    </row>
    <row r="41" spans="1:17">
      <c r="A41" t="s">
        <v>43</v>
      </c>
      <c r="B41" s="14" t="s">
        <v>41</v>
      </c>
      <c r="C41" s="12">
        <v>52668.4</v>
      </c>
      <c r="D41" s="12">
        <v>6.1000000000000004E-3</v>
      </c>
      <c r="E41">
        <f t="shared" si="4"/>
        <v>63267.801771871542</v>
      </c>
      <c r="F41" s="13">
        <f t="shared" si="5"/>
        <v>63267.5</v>
      </c>
      <c r="G41">
        <f t="shared" si="6"/>
        <v>0.13080000000627479</v>
      </c>
      <c r="J41">
        <f t="shared" si="7"/>
        <v>0.13080000000627479</v>
      </c>
      <c r="O41">
        <f t="shared" si="8"/>
        <v>0.13613510983607779</v>
      </c>
      <c r="Q41" s="2">
        <f t="shared" si="9"/>
        <v>37649.9</v>
      </c>
    </row>
    <row r="42" spans="1:17">
      <c r="D42" s="6"/>
    </row>
    <row r="43" spans="1:17">
      <c r="D43" s="6"/>
    </row>
    <row r="44" spans="1:17">
      <c r="D44" s="6"/>
    </row>
    <row r="45" spans="1:17">
      <c r="D45" s="6"/>
    </row>
    <row r="46" spans="1:17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8"/>
  <sheetViews>
    <sheetView topLeftCell="A8" workbookViewId="0">
      <selection activeCell="A30" sqref="A30:D31"/>
    </sheetView>
  </sheetViews>
  <sheetFormatPr defaultRowHeight="12.75"/>
  <cols>
    <col min="1" max="1" width="19.7109375" style="40" customWidth="1"/>
    <col min="2" max="2" width="4.42578125" style="17" customWidth="1"/>
    <col min="3" max="3" width="12.7109375" style="40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40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39" t="s">
        <v>60</v>
      </c>
      <c r="I1" s="41" t="s">
        <v>61</v>
      </c>
      <c r="J1" s="42" t="s">
        <v>62</v>
      </c>
    </row>
    <row r="2" spans="1:16">
      <c r="I2" s="43" t="s">
        <v>63</v>
      </c>
      <c r="J2" s="44" t="s">
        <v>64</v>
      </c>
    </row>
    <row r="3" spans="1:16">
      <c r="A3" s="45" t="s">
        <v>65</v>
      </c>
      <c r="I3" s="43" t="s">
        <v>66</v>
      </c>
      <c r="J3" s="44" t="s">
        <v>67</v>
      </c>
    </row>
    <row r="4" spans="1:16">
      <c r="I4" s="43" t="s">
        <v>68</v>
      </c>
      <c r="J4" s="44" t="s">
        <v>67</v>
      </c>
    </row>
    <row r="5" spans="1:16" ht="13.5" thickBot="1">
      <c r="I5" s="46" t="s">
        <v>69</v>
      </c>
      <c r="J5" s="47" t="s">
        <v>70</v>
      </c>
    </row>
    <row r="10" spans="1:16" ht="13.5" thickBot="1"/>
    <row r="11" spans="1:16" ht="12.75" customHeight="1" thickBot="1">
      <c r="A11" s="40" t="str">
        <f t="shared" ref="A11:A31" si="0">P11</f>
        <v> BBS 101 </v>
      </c>
      <c r="B11" s="6" t="str">
        <f t="shared" ref="B11:B31" si="1">IF(H11=INT(H11),"I","II")</f>
        <v>I</v>
      </c>
      <c r="C11" s="40">
        <f t="shared" ref="C11:C31" si="2">1*G11</f>
        <v>48681.351999999999</v>
      </c>
      <c r="D11" s="17" t="str">
        <f t="shared" ref="D11:D31" si="3">VLOOKUP(F11,I$1:J$5,2,FALSE)</f>
        <v>vis</v>
      </c>
      <c r="E11" s="48">
        <f>VLOOKUP(C11,Active!C$21:E$973,3,FALSE)</f>
        <v>54069.186046511626</v>
      </c>
      <c r="F11" s="6" t="s">
        <v>69</v>
      </c>
      <c r="G11" s="17" t="str">
        <f t="shared" ref="G11:G31" si="4">MID(I11,3,LEN(I11)-3)</f>
        <v>48681.352</v>
      </c>
      <c r="H11" s="40">
        <f t="shared" ref="H11:H31" si="5">1*K11</f>
        <v>-9734</v>
      </c>
      <c r="I11" s="49" t="s">
        <v>71</v>
      </c>
      <c r="J11" s="50" t="s">
        <v>72</v>
      </c>
      <c r="K11" s="49">
        <v>-9734</v>
      </c>
      <c r="L11" s="49" t="s">
        <v>73</v>
      </c>
      <c r="M11" s="50" t="s">
        <v>74</v>
      </c>
      <c r="N11" s="50" t="s">
        <v>75</v>
      </c>
      <c r="O11" s="51" t="s">
        <v>76</v>
      </c>
      <c r="P11" s="51" t="s">
        <v>77</v>
      </c>
    </row>
    <row r="12" spans="1:16" ht="12.75" customHeight="1" thickBot="1">
      <c r="A12" s="40" t="str">
        <f t="shared" si="0"/>
        <v> BBS 103 </v>
      </c>
      <c r="B12" s="6" t="str">
        <f t="shared" si="1"/>
        <v>I</v>
      </c>
      <c r="C12" s="40">
        <f t="shared" si="2"/>
        <v>49065.392999999996</v>
      </c>
      <c r="D12" s="17" t="str">
        <f t="shared" si="3"/>
        <v>vis</v>
      </c>
      <c r="E12" s="48">
        <f>VLOOKUP(C12,Active!C$21:E$973,3,FALSE)</f>
        <v>54955.21640826873</v>
      </c>
      <c r="F12" s="6" t="s">
        <v>69</v>
      </c>
      <c r="G12" s="17" t="str">
        <f t="shared" si="4"/>
        <v>49065.393</v>
      </c>
      <c r="H12" s="40">
        <f t="shared" si="5"/>
        <v>-8848</v>
      </c>
      <c r="I12" s="49" t="s">
        <v>78</v>
      </c>
      <c r="J12" s="50" t="s">
        <v>79</v>
      </c>
      <c r="K12" s="49">
        <v>-8848</v>
      </c>
      <c r="L12" s="49" t="s">
        <v>80</v>
      </c>
      <c r="M12" s="50" t="s">
        <v>74</v>
      </c>
      <c r="N12" s="50" t="s">
        <v>75</v>
      </c>
      <c r="O12" s="51" t="s">
        <v>76</v>
      </c>
      <c r="P12" s="51" t="s">
        <v>81</v>
      </c>
    </row>
    <row r="13" spans="1:16" ht="12.75" customHeight="1" thickBot="1">
      <c r="A13" s="40" t="str">
        <f t="shared" si="0"/>
        <v> BBS 106 </v>
      </c>
      <c r="B13" s="6" t="str">
        <f t="shared" si="1"/>
        <v>I</v>
      </c>
      <c r="C13" s="40">
        <f t="shared" si="2"/>
        <v>49416.485000000001</v>
      </c>
      <c r="D13" s="17" t="str">
        <f t="shared" si="3"/>
        <v>vis</v>
      </c>
      <c r="E13" s="48">
        <f>VLOOKUP(C13,Active!C$21:E$973,3,FALSE)</f>
        <v>55765.229328165377</v>
      </c>
      <c r="F13" s="6" t="s">
        <v>69</v>
      </c>
      <c r="G13" s="17" t="str">
        <f t="shared" si="4"/>
        <v>49416.485</v>
      </c>
      <c r="H13" s="40">
        <f t="shared" si="5"/>
        <v>-8038</v>
      </c>
      <c r="I13" s="49" t="s">
        <v>82</v>
      </c>
      <c r="J13" s="50" t="s">
        <v>83</v>
      </c>
      <c r="K13" s="49">
        <v>-8038</v>
      </c>
      <c r="L13" s="49" t="s">
        <v>84</v>
      </c>
      <c r="M13" s="50" t="s">
        <v>74</v>
      </c>
      <c r="N13" s="50" t="s">
        <v>75</v>
      </c>
      <c r="O13" s="51" t="s">
        <v>76</v>
      </c>
      <c r="P13" s="51" t="s">
        <v>85</v>
      </c>
    </row>
    <row r="14" spans="1:16" ht="12.75" customHeight="1" thickBot="1">
      <c r="A14" s="40" t="str">
        <f t="shared" si="0"/>
        <v> BBS 111 </v>
      </c>
      <c r="B14" s="6" t="str">
        <f t="shared" si="1"/>
        <v>I</v>
      </c>
      <c r="C14" s="40">
        <f t="shared" si="2"/>
        <v>50104.368000000002</v>
      </c>
      <c r="D14" s="17" t="str">
        <f t="shared" si="3"/>
        <v>vis</v>
      </c>
      <c r="E14" s="48">
        <f>VLOOKUP(C14,Active!C$21:E$973,3,FALSE)</f>
        <v>57352.26098191215</v>
      </c>
      <c r="F14" s="6" t="s">
        <v>69</v>
      </c>
      <c r="G14" s="17" t="str">
        <f t="shared" si="4"/>
        <v>50104.368</v>
      </c>
      <c r="H14" s="40">
        <f t="shared" si="5"/>
        <v>-6451</v>
      </c>
      <c r="I14" s="49" t="s">
        <v>86</v>
      </c>
      <c r="J14" s="50" t="s">
        <v>87</v>
      </c>
      <c r="K14" s="49">
        <v>-6451</v>
      </c>
      <c r="L14" s="49" t="s">
        <v>88</v>
      </c>
      <c r="M14" s="50" t="s">
        <v>74</v>
      </c>
      <c r="N14" s="50" t="s">
        <v>75</v>
      </c>
      <c r="O14" s="51" t="s">
        <v>89</v>
      </c>
      <c r="P14" s="51" t="s">
        <v>90</v>
      </c>
    </row>
    <row r="15" spans="1:16" ht="12.75" customHeight="1" thickBot="1">
      <c r="A15" s="40" t="str">
        <f t="shared" si="0"/>
        <v> BBS 115 </v>
      </c>
      <c r="B15" s="6" t="str">
        <f t="shared" si="1"/>
        <v>II</v>
      </c>
      <c r="C15" s="40">
        <f t="shared" si="2"/>
        <v>50545.383000000002</v>
      </c>
      <c r="D15" s="17" t="str">
        <f t="shared" si="3"/>
        <v>vis</v>
      </c>
      <c r="E15" s="48">
        <f>VLOOKUP(C15,Active!C$21:E$973,3,FALSE)</f>
        <v>58369.737449243272</v>
      </c>
      <c r="F15" s="6" t="s">
        <v>69</v>
      </c>
      <c r="G15" s="17" t="str">
        <f t="shared" si="4"/>
        <v>50545.383</v>
      </c>
      <c r="H15" s="40">
        <f t="shared" si="5"/>
        <v>-5433.5</v>
      </c>
      <c r="I15" s="49" t="s">
        <v>91</v>
      </c>
      <c r="J15" s="50" t="s">
        <v>92</v>
      </c>
      <c r="K15" s="49">
        <v>-5433.5</v>
      </c>
      <c r="L15" s="49" t="s">
        <v>93</v>
      </c>
      <c r="M15" s="50" t="s">
        <v>74</v>
      </c>
      <c r="N15" s="50" t="s">
        <v>75</v>
      </c>
      <c r="O15" s="51" t="s">
        <v>89</v>
      </c>
      <c r="P15" s="51" t="s">
        <v>94</v>
      </c>
    </row>
    <row r="16" spans="1:16" ht="12.75" customHeight="1" thickBot="1">
      <c r="A16" s="40" t="str">
        <f t="shared" si="0"/>
        <v>IBVS 5583 </v>
      </c>
      <c r="B16" s="6" t="str">
        <f t="shared" si="1"/>
        <v>II</v>
      </c>
      <c r="C16" s="40">
        <f t="shared" si="2"/>
        <v>51580.471899999997</v>
      </c>
      <c r="D16" s="17" t="str">
        <f t="shared" si="3"/>
        <v>vis</v>
      </c>
      <c r="E16" s="48">
        <f>VLOOKUP(C16,Active!C$21:E$973,3,FALSE)</f>
        <v>60757.816306755252</v>
      </c>
      <c r="F16" s="6" t="s">
        <v>69</v>
      </c>
      <c r="G16" s="17" t="str">
        <f t="shared" si="4"/>
        <v>51580.4719</v>
      </c>
      <c r="H16" s="40">
        <f t="shared" si="5"/>
        <v>-3045.5</v>
      </c>
      <c r="I16" s="49" t="s">
        <v>95</v>
      </c>
      <c r="J16" s="50" t="s">
        <v>96</v>
      </c>
      <c r="K16" s="49">
        <v>-3045.5</v>
      </c>
      <c r="L16" s="49" t="s">
        <v>97</v>
      </c>
      <c r="M16" s="50" t="s">
        <v>74</v>
      </c>
      <c r="N16" s="50" t="s">
        <v>75</v>
      </c>
      <c r="O16" s="51" t="s">
        <v>98</v>
      </c>
      <c r="P16" s="52" t="s">
        <v>99</v>
      </c>
    </row>
    <row r="17" spans="1:16" ht="12.75" customHeight="1" thickBot="1">
      <c r="A17" s="40" t="str">
        <f t="shared" si="0"/>
        <v>IBVS 5287 </v>
      </c>
      <c r="B17" s="6" t="str">
        <f t="shared" si="1"/>
        <v>II</v>
      </c>
      <c r="C17" s="40">
        <f t="shared" si="2"/>
        <v>51876.503799999999</v>
      </c>
      <c r="D17" s="17" t="str">
        <f t="shared" si="3"/>
        <v>vis</v>
      </c>
      <c r="E17" s="48">
        <f>VLOOKUP(C17,Active!C$21:E$973,3,FALSE)</f>
        <v>61440.798726467328</v>
      </c>
      <c r="F17" s="6" t="s">
        <v>69</v>
      </c>
      <c r="G17" s="17" t="str">
        <f t="shared" si="4"/>
        <v>51876.5038</v>
      </c>
      <c r="H17" s="40">
        <f t="shared" si="5"/>
        <v>-2362.5</v>
      </c>
      <c r="I17" s="49" t="s">
        <v>100</v>
      </c>
      <c r="J17" s="50" t="s">
        <v>101</v>
      </c>
      <c r="K17" s="49">
        <v>-2362.5</v>
      </c>
      <c r="L17" s="49" t="s">
        <v>102</v>
      </c>
      <c r="M17" s="50" t="s">
        <v>74</v>
      </c>
      <c r="N17" s="50" t="s">
        <v>75</v>
      </c>
      <c r="O17" s="51" t="s">
        <v>98</v>
      </c>
      <c r="P17" s="52" t="s">
        <v>103</v>
      </c>
    </row>
    <row r="18" spans="1:16" ht="12.75" customHeight="1" thickBot="1">
      <c r="A18" s="40" t="str">
        <f t="shared" si="0"/>
        <v>IBVS 5583 </v>
      </c>
      <c r="B18" s="6" t="str">
        <f t="shared" si="1"/>
        <v>II</v>
      </c>
      <c r="C18" s="40">
        <f t="shared" si="2"/>
        <v>51965.358800000002</v>
      </c>
      <c r="D18" s="17" t="str">
        <f t="shared" si="3"/>
        <v>vis</v>
      </c>
      <c r="E18" s="48">
        <f>VLOOKUP(C18,Active!C$21:E$973,3,FALSE)</f>
        <v>61645.79826504246</v>
      </c>
      <c r="F18" s="6" t="s">
        <v>69</v>
      </c>
      <c r="G18" s="17" t="str">
        <f t="shared" si="4"/>
        <v>51965.3588</v>
      </c>
      <c r="H18" s="40">
        <f t="shared" si="5"/>
        <v>-2157.5</v>
      </c>
      <c r="I18" s="49" t="s">
        <v>108</v>
      </c>
      <c r="J18" s="50" t="s">
        <v>109</v>
      </c>
      <c r="K18" s="49">
        <v>-2157.5</v>
      </c>
      <c r="L18" s="49" t="s">
        <v>110</v>
      </c>
      <c r="M18" s="50" t="s">
        <v>74</v>
      </c>
      <c r="N18" s="50" t="s">
        <v>75</v>
      </c>
      <c r="O18" s="51" t="s">
        <v>98</v>
      </c>
      <c r="P18" s="52" t="s">
        <v>99</v>
      </c>
    </row>
    <row r="19" spans="1:16" ht="12.75" customHeight="1" thickBot="1">
      <c r="A19" s="40" t="str">
        <f t="shared" si="0"/>
        <v>IBVS 5583 </v>
      </c>
      <c r="B19" s="6" t="str">
        <f t="shared" si="1"/>
        <v>I</v>
      </c>
      <c r="C19" s="40">
        <f t="shared" si="2"/>
        <v>52002.414900000003</v>
      </c>
      <c r="D19" s="17" t="str">
        <f t="shared" si="3"/>
        <v>vis</v>
      </c>
      <c r="E19" s="48">
        <f>VLOOKUP(C19,Active!C$21:E$973,3,FALSE)</f>
        <v>61731.291297526775</v>
      </c>
      <c r="F19" s="6" t="s">
        <v>69</v>
      </c>
      <c r="G19" s="17" t="str">
        <f t="shared" si="4"/>
        <v>52002.4149</v>
      </c>
      <c r="H19" s="40">
        <f t="shared" si="5"/>
        <v>-2072</v>
      </c>
      <c r="I19" s="49" t="s">
        <v>111</v>
      </c>
      <c r="J19" s="50" t="s">
        <v>112</v>
      </c>
      <c r="K19" s="49">
        <v>-2072</v>
      </c>
      <c r="L19" s="49" t="s">
        <v>113</v>
      </c>
      <c r="M19" s="50" t="s">
        <v>74</v>
      </c>
      <c r="N19" s="50" t="s">
        <v>75</v>
      </c>
      <c r="O19" s="51" t="s">
        <v>98</v>
      </c>
      <c r="P19" s="52" t="s">
        <v>99</v>
      </c>
    </row>
    <row r="20" spans="1:16" ht="12.75" customHeight="1" thickBot="1">
      <c r="A20" s="40" t="str">
        <f t="shared" si="0"/>
        <v>IBVS 5583 </v>
      </c>
      <c r="B20" s="6" t="str">
        <f t="shared" si="1"/>
        <v>II</v>
      </c>
      <c r="C20" s="40">
        <f t="shared" si="2"/>
        <v>52279.606</v>
      </c>
      <c r="D20" s="17" t="str">
        <f t="shared" si="3"/>
        <v>vis</v>
      </c>
      <c r="E20" s="48">
        <f>VLOOKUP(C20,Active!C$21:E$973,3,FALSE)</f>
        <v>62370.805647840534</v>
      </c>
      <c r="F20" s="6" t="s">
        <v>69</v>
      </c>
      <c r="G20" s="17" t="str">
        <f t="shared" si="4"/>
        <v>52279.6060</v>
      </c>
      <c r="H20" s="40">
        <f t="shared" si="5"/>
        <v>-1432.5</v>
      </c>
      <c r="I20" s="49" t="s">
        <v>114</v>
      </c>
      <c r="J20" s="50" t="s">
        <v>115</v>
      </c>
      <c r="K20" s="49">
        <v>-1432.5</v>
      </c>
      <c r="L20" s="49" t="s">
        <v>116</v>
      </c>
      <c r="M20" s="50" t="s">
        <v>74</v>
      </c>
      <c r="N20" s="50" t="s">
        <v>75</v>
      </c>
      <c r="O20" s="51" t="s">
        <v>98</v>
      </c>
      <c r="P20" s="52" t="s">
        <v>99</v>
      </c>
    </row>
    <row r="21" spans="1:16" ht="12.75" customHeight="1" thickBot="1">
      <c r="A21" s="40" t="str">
        <f t="shared" si="0"/>
        <v>IBVS 5583 </v>
      </c>
      <c r="B21" s="6" t="str">
        <f t="shared" si="1"/>
        <v>II</v>
      </c>
      <c r="C21" s="40">
        <f t="shared" si="2"/>
        <v>52362.394</v>
      </c>
      <c r="D21" s="17" t="str">
        <f t="shared" si="3"/>
        <v>vis</v>
      </c>
      <c r="E21" s="48">
        <f>VLOOKUP(C21,Active!C$21:E$973,3,FALSE)</f>
        <v>62561.807862679962</v>
      </c>
      <c r="F21" s="6" t="s">
        <v>69</v>
      </c>
      <c r="G21" s="17" t="str">
        <f t="shared" si="4"/>
        <v>52362.3940</v>
      </c>
      <c r="H21" s="40">
        <f t="shared" si="5"/>
        <v>-1241.5</v>
      </c>
      <c r="I21" s="49" t="s">
        <v>117</v>
      </c>
      <c r="J21" s="50" t="s">
        <v>118</v>
      </c>
      <c r="K21" s="49">
        <v>-1241.5</v>
      </c>
      <c r="L21" s="49" t="s">
        <v>119</v>
      </c>
      <c r="M21" s="50" t="s">
        <v>74</v>
      </c>
      <c r="N21" s="50" t="s">
        <v>75</v>
      </c>
      <c r="O21" s="51" t="s">
        <v>98</v>
      </c>
      <c r="P21" s="52" t="s">
        <v>99</v>
      </c>
    </row>
    <row r="22" spans="1:16" ht="12.75" customHeight="1" thickBot="1">
      <c r="A22" s="40" t="str">
        <f t="shared" si="0"/>
        <v>IBVS 5583 </v>
      </c>
      <c r="B22" s="6" t="str">
        <f t="shared" si="1"/>
        <v>I</v>
      </c>
      <c r="C22" s="40">
        <f t="shared" si="2"/>
        <v>52367.374300000003</v>
      </c>
      <c r="D22" s="17" t="str">
        <f t="shared" si="3"/>
        <v>vis</v>
      </c>
      <c r="E22" s="48">
        <f>VLOOKUP(C22,Active!C$21:E$973,3,FALSE)</f>
        <v>62573.298034330022</v>
      </c>
      <c r="F22" s="6" t="s">
        <v>69</v>
      </c>
      <c r="G22" s="17" t="str">
        <f t="shared" si="4"/>
        <v>52367.3743</v>
      </c>
      <c r="H22" s="40">
        <f t="shared" si="5"/>
        <v>-1230</v>
      </c>
      <c r="I22" s="49" t="s">
        <v>120</v>
      </c>
      <c r="J22" s="50" t="s">
        <v>121</v>
      </c>
      <c r="K22" s="49">
        <v>-1230</v>
      </c>
      <c r="L22" s="49" t="s">
        <v>122</v>
      </c>
      <c r="M22" s="50" t="s">
        <v>74</v>
      </c>
      <c r="N22" s="50" t="s">
        <v>75</v>
      </c>
      <c r="O22" s="51" t="s">
        <v>98</v>
      </c>
      <c r="P22" s="52" t="s">
        <v>99</v>
      </c>
    </row>
    <row r="23" spans="1:16" ht="12.75" customHeight="1" thickBot="1">
      <c r="A23" s="40" t="str">
        <f t="shared" si="0"/>
        <v>IBVS 5583 </v>
      </c>
      <c r="B23" s="6" t="str">
        <f t="shared" si="1"/>
        <v>II</v>
      </c>
      <c r="C23" s="40">
        <f t="shared" si="2"/>
        <v>52369.326099999998</v>
      </c>
      <c r="D23" s="17" t="str">
        <f t="shared" si="3"/>
        <v>vis</v>
      </c>
      <c r="E23" s="48">
        <f>VLOOKUP(C23,Active!C$21:E$973,3,FALSE)</f>
        <v>62577.801079734221</v>
      </c>
      <c r="F23" s="6" t="s">
        <v>69</v>
      </c>
      <c r="G23" s="17" t="str">
        <f t="shared" si="4"/>
        <v>52369.3261</v>
      </c>
      <c r="H23" s="40">
        <f t="shared" si="5"/>
        <v>-1225.5</v>
      </c>
      <c r="I23" s="49" t="s">
        <v>123</v>
      </c>
      <c r="J23" s="50" t="s">
        <v>124</v>
      </c>
      <c r="K23" s="49">
        <v>-1225.5</v>
      </c>
      <c r="L23" s="49" t="s">
        <v>125</v>
      </c>
      <c r="M23" s="50" t="s">
        <v>74</v>
      </c>
      <c r="N23" s="50" t="s">
        <v>75</v>
      </c>
      <c r="O23" s="51" t="s">
        <v>98</v>
      </c>
      <c r="P23" s="52" t="s">
        <v>99</v>
      </c>
    </row>
    <row r="24" spans="1:16" ht="12.75" customHeight="1" thickBot="1">
      <c r="A24" s="40" t="str">
        <f t="shared" si="0"/>
        <v>IBVS 5583 </v>
      </c>
      <c r="B24" s="6" t="str">
        <f t="shared" si="1"/>
        <v>II</v>
      </c>
      <c r="C24" s="40">
        <f t="shared" si="2"/>
        <v>52668.403700000003</v>
      </c>
      <c r="D24" s="17" t="str">
        <f t="shared" si="3"/>
        <v>vis</v>
      </c>
      <c r="E24" s="48">
        <f>VLOOKUP(C24,Active!C$21:E$973,3,FALSE)</f>
        <v>63267.810308231827</v>
      </c>
      <c r="F24" s="6" t="s">
        <v>69</v>
      </c>
      <c r="G24" s="17" t="str">
        <f t="shared" si="4"/>
        <v>52668.4037</v>
      </c>
      <c r="H24" s="40">
        <f t="shared" si="5"/>
        <v>-535.5</v>
      </c>
      <c r="I24" s="49" t="s">
        <v>126</v>
      </c>
      <c r="J24" s="50" t="s">
        <v>127</v>
      </c>
      <c r="K24" s="49">
        <v>-535.5</v>
      </c>
      <c r="L24" s="49" t="s">
        <v>128</v>
      </c>
      <c r="M24" s="50" t="s">
        <v>74</v>
      </c>
      <c r="N24" s="50" t="s">
        <v>75</v>
      </c>
      <c r="O24" s="51" t="s">
        <v>98</v>
      </c>
      <c r="P24" s="52" t="s">
        <v>99</v>
      </c>
    </row>
    <row r="25" spans="1:16" ht="12.75" customHeight="1" thickBot="1">
      <c r="A25" s="40" t="str">
        <f t="shared" si="0"/>
        <v> BBS 129 </v>
      </c>
      <c r="B25" s="6" t="str">
        <f t="shared" si="1"/>
        <v>II</v>
      </c>
      <c r="C25" s="40">
        <f t="shared" si="2"/>
        <v>52717.377</v>
      </c>
      <c r="D25" s="17" t="str">
        <f t="shared" si="3"/>
        <v>vis</v>
      </c>
      <c r="E25" s="48">
        <f>VLOOKUP(C25,Active!C$21:E$973,3,FALSE)</f>
        <v>63380.797803617577</v>
      </c>
      <c r="F25" s="6" t="s">
        <v>69</v>
      </c>
      <c r="G25" s="17" t="str">
        <f t="shared" si="4"/>
        <v>52717.377</v>
      </c>
      <c r="H25" s="40">
        <f t="shared" si="5"/>
        <v>-422.5</v>
      </c>
      <c r="I25" s="49" t="s">
        <v>129</v>
      </c>
      <c r="J25" s="50" t="s">
        <v>130</v>
      </c>
      <c r="K25" s="49">
        <v>-422.5</v>
      </c>
      <c r="L25" s="49" t="s">
        <v>84</v>
      </c>
      <c r="M25" s="50" t="s">
        <v>74</v>
      </c>
      <c r="N25" s="50" t="s">
        <v>75</v>
      </c>
      <c r="O25" s="51" t="s">
        <v>89</v>
      </c>
      <c r="P25" s="51" t="s">
        <v>131</v>
      </c>
    </row>
    <row r="26" spans="1:16" ht="12.75" customHeight="1" thickBot="1">
      <c r="A26" s="40" t="str">
        <f t="shared" si="0"/>
        <v>IBVS 5741 </v>
      </c>
      <c r="B26" s="6" t="str">
        <f t="shared" si="1"/>
        <v>II</v>
      </c>
      <c r="C26" s="40">
        <f t="shared" si="2"/>
        <v>53344.576800000003</v>
      </c>
      <c r="D26" s="17" t="str">
        <f t="shared" si="3"/>
        <v>vis</v>
      </c>
      <c r="E26" s="48">
        <f>VLOOKUP(C26,Active!C$21:E$973,3,FALSE)</f>
        <v>64827.82576596531</v>
      </c>
      <c r="F26" s="6" t="s">
        <v>69</v>
      </c>
      <c r="G26" s="17" t="str">
        <f t="shared" si="4"/>
        <v>53344.5768</v>
      </c>
      <c r="H26" s="40">
        <f t="shared" si="5"/>
        <v>1024.5</v>
      </c>
      <c r="I26" s="49" t="s">
        <v>132</v>
      </c>
      <c r="J26" s="50" t="s">
        <v>133</v>
      </c>
      <c r="K26" s="49">
        <v>1024.5</v>
      </c>
      <c r="L26" s="49" t="s">
        <v>134</v>
      </c>
      <c r="M26" s="50" t="s">
        <v>74</v>
      </c>
      <c r="N26" s="50" t="s">
        <v>75</v>
      </c>
      <c r="O26" s="51" t="s">
        <v>135</v>
      </c>
      <c r="P26" s="52" t="s">
        <v>136</v>
      </c>
    </row>
    <row r="27" spans="1:16" ht="12.75" customHeight="1" thickBot="1">
      <c r="A27" s="40" t="str">
        <f t="shared" si="0"/>
        <v>IBVS 5741 </v>
      </c>
      <c r="B27" s="6" t="str">
        <f t="shared" si="1"/>
        <v>II</v>
      </c>
      <c r="C27" s="40">
        <f t="shared" si="2"/>
        <v>53410.458200000001</v>
      </c>
      <c r="D27" s="17" t="str">
        <f t="shared" si="3"/>
        <v>vis</v>
      </c>
      <c r="E27" s="48">
        <f>VLOOKUP(C27,Active!C$21:E$973,3,FALSE)</f>
        <v>64979.822351421193</v>
      </c>
      <c r="F27" s="6" t="s">
        <v>69</v>
      </c>
      <c r="G27" s="17" t="str">
        <f t="shared" si="4"/>
        <v>53410.4582</v>
      </c>
      <c r="H27" s="40">
        <f t="shared" si="5"/>
        <v>1176.5</v>
      </c>
      <c r="I27" s="49" t="s">
        <v>137</v>
      </c>
      <c r="J27" s="50" t="s">
        <v>138</v>
      </c>
      <c r="K27" s="49">
        <v>1176.5</v>
      </c>
      <c r="L27" s="49" t="s">
        <v>139</v>
      </c>
      <c r="M27" s="50" t="s">
        <v>74</v>
      </c>
      <c r="N27" s="50" t="s">
        <v>75</v>
      </c>
      <c r="O27" s="51" t="s">
        <v>135</v>
      </c>
      <c r="P27" s="52" t="s">
        <v>136</v>
      </c>
    </row>
    <row r="28" spans="1:16" ht="12.75" customHeight="1" thickBot="1">
      <c r="A28" s="40" t="str">
        <f t="shared" si="0"/>
        <v>BAVM 178 </v>
      </c>
      <c r="B28" s="6" t="str">
        <f t="shared" si="1"/>
        <v>II</v>
      </c>
      <c r="C28" s="40">
        <f t="shared" si="2"/>
        <v>53768.482600000003</v>
      </c>
      <c r="D28" s="17" t="str">
        <f t="shared" si="3"/>
        <v>vis</v>
      </c>
      <c r="E28" s="48">
        <f>VLOOKUP(C28,Active!C$21:E$973,3,FALSE)</f>
        <v>65805.82918050942</v>
      </c>
      <c r="F28" s="6" t="s">
        <v>69</v>
      </c>
      <c r="G28" s="17" t="str">
        <f t="shared" si="4"/>
        <v>53768.4826</v>
      </c>
      <c r="H28" s="40">
        <f t="shared" si="5"/>
        <v>2002.5</v>
      </c>
      <c r="I28" s="49" t="s">
        <v>140</v>
      </c>
      <c r="J28" s="50" t="s">
        <v>141</v>
      </c>
      <c r="K28" s="49">
        <v>2002.5</v>
      </c>
      <c r="L28" s="49" t="s">
        <v>142</v>
      </c>
      <c r="M28" s="50" t="s">
        <v>143</v>
      </c>
      <c r="N28" s="50" t="s">
        <v>144</v>
      </c>
      <c r="O28" s="51" t="s">
        <v>145</v>
      </c>
      <c r="P28" s="52" t="s">
        <v>146</v>
      </c>
    </row>
    <row r="29" spans="1:16" ht="12.75" customHeight="1" thickBot="1">
      <c r="A29" s="40" t="str">
        <f t="shared" si="0"/>
        <v>IBVS 5992 </v>
      </c>
      <c r="B29" s="6" t="str">
        <f t="shared" si="1"/>
        <v>I</v>
      </c>
      <c r="C29" s="40">
        <f t="shared" si="2"/>
        <v>55615.612200000003</v>
      </c>
      <c r="D29" s="17" t="str">
        <f t="shared" si="3"/>
        <v>vis</v>
      </c>
      <c r="E29" s="48">
        <f>VLOOKUP(C29,Active!C$21:E$973,3,FALSE)</f>
        <v>70067.386950904402</v>
      </c>
      <c r="F29" s="6" t="s">
        <v>69</v>
      </c>
      <c r="G29" s="17" t="str">
        <f t="shared" si="4"/>
        <v>55615.6122</v>
      </c>
      <c r="H29" s="40">
        <f t="shared" si="5"/>
        <v>6264</v>
      </c>
      <c r="I29" s="49" t="s">
        <v>154</v>
      </c>
      <c r="J29" s="50" t="s">
        <v>155</v>
      </c>
      <c r="K29" s="49" t="s">
        <v>156</v>
      </c>
      <c r="L29" s="49" t="s">
        <v>157</v>
      </c>
      <c r="M29" s="50" t="s">
        <v>143</v>
      </c>
      <c r="N29" s="50" t="s">
        <v>69</v>
      </c>
      <c r="O29" s="51" t="s">
        <v>89</v>
      </c>
      <c r="P29" s="52" t="s">
        <v>158</v>
      </c>
    </row>
    <row r="30" spans="1:16" ht="12.75" customHeight="1" thickBot="1">
      <c r="A30" s="40" t="str">
        <f t="shared" si="0"/>
        <v> BBS 124 </v>
      </c>
      <c r="B30" s="6" t="str">
        <f t="shared" si="1"/>
        <v>II</v>
      </c>
      <c r="C30" s="40">
        <f t="shared" si="2"/>
        <v>51951.49</v>
      </c>
      <c r="D30" s="17" t="str">
        <f t="shared" si="3"/>
        <v>vis</v>
      </c>
      <c r="E30" s="48">
        <f>VLOOKUP(C30,Active!C$21:E$973,3,FALSE)</f>
        <v>61613.80121816168</v>
      </c>
      <c r="F30" s="6" t="s">
        <v>69</v>
      </c>
      <c r="G30" s="17" t="str">
        <f t="shared" si="4"/>
        <v>51951.490</v>
      </c>
      <c r="H30" s="40">
        <f t="shared" si="5"/>
        <v>-2189.5</v>
      </c>
      <c r="I30" s="49" t="s">
        <v>104</v>
      </c>
      <c r="J30" s="50" t="s">
        <v>105</v>
      </c>
      <c r="K30" s="49">
        <v>-2189.5</v>
      </c>
      <c r="L30" s="49" t="s">
        <v>106</v>
      </c>
      <c r="M30" s="50" t="s">
        <v>74</v>
      </c>
      <c r="N30" s="50" t="s">
        <v>75</v>
      </c>
      <c r="O30" s="51" t="s">
        <v>89</v>
      </c>
      <c r="P30" s="51" t="s">
        <v>107</v>
      </c>
    </row>
    <row r="31" spans="1:16" ht="12.75" customHeight="1" thickBot="1">
      <c r="A31" s="40" t="str">
        <f t="shared" si="0"/>
        <v>BAVM 225 </v>
      </c>
      <c r="B31" s="6" t="str">
        <f t="shared" si="1"/>
        <v>II</v>
      </c>
      <c r="C31" s="40">
        <f t="shared" si="2"/>
        <v>55615.394699999997</v>
      </c>
      <c r="D31" s="17" t="str">
        <f t="shared" si="3"/>
        <v>vis</v>
      </c>
      <c r="E31" s="48">
        <f>VLOOKUP(C31,Active!C$21:E$973,3,FALSE)</f>
        <v>70066.885151347364</v>
      </c>
      <c r="F31" s="6" t="s">
        <v>69</v>
      </c>
      <c r="G31" s="17" t="str">
        <f t="shared" si="4"/>
        <v>55615.3947</v>
      </c>
      <c r="H31" s="40">
        <f t="shared" si="5"/>
        <v>6263.5</v>
      </c>
      <c r="I31" s="49" t="s">
        <v>147</v>
      </c>
      <c r="J31" s="50" t="s">
        <v>148</v>
      </c>
      <c r="K31" s="49" t="s">
        <v>149</v>
      </c>
      <c r="L31" s="49" t="s">
        <v>150</v>
      </c>
      <c r="M31" s="50" t="s">
        <v>143</v>
      </c>
      <c r="N31" s="50" t="s">
        <v>151</v>
      </c>
      <c r="O31" s="51" t="s">
        <v>152</v>
      </c>
      <c r="P31" s="52" t="s">
        <v>153</v>
      </c>
    </row>
    <row r="32" spans="1:16">
      <c r="B32" s="6"/>
      <c r="F32" s="6"/>
    </row>
    <row r="33" spans="2:6">
      <c r="B33" s="6"/>
      <c r="F33" s="6"/>
    </row>
    <row r="34" spans="2:6">
      <c r="B34" s="6"/>
      <c r="F34" s="6"/>
    </row>
    <row r="35" spans="2:6">
      <c r="B35" s="6"/>
      <c r="F35" s="6"/>
    </row>
    <row r="36" spans="2:6">
      <c r="B36" s="6"/>
      <c r="F36" s="6"/>
    </row>
    <row r="37" spans="2:6">
      <c r="B37" s="6"/>
      <c r="F37" s="6"/>
    </row>
    <row r="38" spans="2:6">
      <c r="B38" s="6"/>
      <c r="F38" s="6"/>
    </row>
    <row r="39" spans="2:6">
      <c r="B39" s="6"/>
      <c r="F39" s="6"/>
    </row>
    <row r="40" spans="2:6">
      <c r="B40" s="6"/>
      <c r="F40" s="6"/>
    </row>
    <row r="41" spans="2:6">
      <c r="B41" s="6"/>
      <c r="F41" s="6"/>
    </row>
    <row r="42" spans="2:6">
      <c r="B42" s="6"/>
      <c r="F42" s="6"/>
    </row>
    <row r="43" spans="2:6">
      <c r="B43" s="6"/>
      <c r="F43" s="6"/>
    </row>
    <row r="44" spans="2:6">
      <c r="B44" s="6"/>
      <c r="F44" s="6"/>
    </row>
    <row r="45" spans="2:6">
      <c r="B45" s="6"/>
      <c r="F45" s="6"/>
    </row>
    <row r="46" spans="2:6">
      <c r="B46" s="6"/>
      <c r="F46" s="6"/>
    </row>
    <row r="47" spans="2:6">
      <c r="B47" s="6"/>
      <c r="F47" s="6"/>
    </row>
    <row r="48" spans="2:6">
      <c r="B48" s="6"/>
      <c r="F48" s="6"/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</sheetData>
  <phoneticPr fontId="7" type="noConversion"/>
  <hyperlinks>
    <hyperlink ref="P16" r:id="rId1" display="http://www.konkoly.hu/cgi-bin/IBVS?5583"/>
    <hyperlink ref="P17" r:id="rId2" display="http://www.konkoly.hu/cgi-bin/IBVS?5287"/>
    <hyperlink ref="P18" r:id="rId3" display="http://www.konkoly.hu/cgi-bin/IBVS?5583"/>
    <hyperlink ref="P19" r:id="rId4" display="http://www.konkoly.hu/cgi-bin/IBVS?5583"/>
    <hyperlink ref="P20" r:id="rId5" display="http://www.konkoly.hu/cgi-bin/IBVS?5583"/>
    <hyperlink ref="P21" r:id="rId6" display="http://www.konkoly.hu/cgi-bin/IBVS?5583"/>
    <hyperlink ref="P22" r:id="rId7" display="http://www.konkoly.hu/cgi-bin/IBVS?5583"/>
    <hyperlink ref="P23" r:id="rId8" display="http://www.konkoly.hu/cgi-bin/IBVS?5583"/>
    <hyperlink ref="P24" r:id="rId9" display="http://www.konkoly.hu/cgi-bin/IBVS?5583"/>
    <hyperlink ref="P26" r:id="rId10" display="http://www.konkoly.hu/cgi-bin/IBVS?5741"/>
    <hyperlink ref="P27" r:id="rId11" display="http://www.konkoly.hu/cgi-bin/IBVS?5741"/>
    <hyperlink ref="P28" r:id="rId12" display="http://www.bav-astro.de/sfs/BAVM_link.php?BAVMnr=178"/>
    <hyperlink ref="P31" r:id="rId13" display="http://www.bav-astro.de/sfs/BAVM_link.php?BAVMnr=225"/>
    <hyperlink ref="P29" r:id="rId14" display="http://www.konkoly.hu/cgi-bin/IBVS?59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2024-01-29T03:21:48Z</dcterms:modified>
</cp:coreProperties>
</file>