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87C392-7EC1-4E71-85A7-965B31E6D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8" i="2" l="1"/>
  <c r="F78" i="2"/>
  <c r="G78" i="2" s="1"/>
  <c r="K78" i="2" s="1"/>
  <c r="Q78" i="2"/>
  <c r="E77" i="2"/>
  <c r="F77" i="2" s="1"/>
  <c r="Q77" i="2"/>
  <c r="E74" i="2"/>
  <c r="F74" i="2" s="1"/>
  <c r="Q74" i="2"/>
  <c r="E75" i="2"/>
  <c r="F75" i="2"/>
  <c r="G75" i="2" s="1"/>
  <c r="K75" i="2" s="1"/>
  <c r="Q75" i="2"/>
  <c r="E76" i="2"/>
  <c r="F76" i="2" s="1"/>
  <c r="Q76" i="2"/>
  <c r="E73" i="2"/>
  <c r="F73" i="2"/>
  <c r="Q73" i="2"/>
  <c r="E72" i="2"/>
  <c r="F72" i="2"/>
  <c r="G72" i="2"/>
  <c r="K72" i="2"/>
  <c r="D11" i="2"/>
  <c r="W21" i="2" s="1"/>
  <c r="D12" i="2"/>
  <c r="Q72" i="2"/>
  <c r="D13" i="2"/>
  <c r="E21" i="2"/>
  <c r="F21" i="2"/>
  <c r="Q21" i="2"/>
  <c r="E22" i="2"/>
  <c r="F22" i="2"/>
  <c r="E23" i="2"/>
  <c r="F23" i="2"/>
  <c r="G23" i="2"/>
  <c r="K23" i="2"/>
  <c r="E24" i="2"/>
  <c r="F24" i="2"/>
  <c r="G24" i="2"/>
  <c r="K24" i="2"/>
  <c r="E25" i="2"/>
  <c r="F25" i="2"/>
  <c r="E26" i="2"/>
  <c r="F26" i="2"/>
  <c r="E27" i="2"/>
  <c r="F27" i="2"/>
  <c r="E28" i="2"/>
  <c r="F28" i="2"/>
  <c r="E29" i="2"/>
  <c r="F29" i="2"/>
  <c r="E30" i="2"/>
  <c r="F30" i="2"/>
  <c r="G30" i="2"/>
  <c r="K30" i="2"/>
  <c r="E31" i="2"/>
  <c r="F31" i="2"/>
  <c r="E32" i="2"/>
  <c r="F32" i="2"/>
  <c r="G32" i="2"/>
  <c r="K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G53" i="2"/>
  <c r="K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D9" i="2"/>
  <c r="C9" i="2"/>
  <c r="Q71" i="2"/>
  <c r="Q65" i="2"/>
  <c r="Q67" i="2"/>
  <c r="Q68" i="2"/>
  <c r="Q64" i="2"/>
  <c r="Q66" i="2"/>
  <c r="Q69" i="2"/>
  <c r="Q63" i="2"/>
  <c r="Q70" i="2"/>
  <c r="G45" i="2"/>
  <c r="K45" i="2"/>
  <c r="Q48" i="2"/>
  <c r="G49" i="2"/>
  <c r="G25" i="2"/>
  <c r="G41" i="2"/>
  <c r="Q39" i="2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46" i="3"/>
  <c r="C46" i="3"/>
  <c r="E46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45" i="3"/>
  <c r="C45" i="3"/>
  <c r="E45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46" i="3"/>
  <c r="D46" i="3"/>
  <c r="B46" i="3"/>
  <c r="A46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45" i="3"/>
  <c r="D45" i="3"/>
  <c r="B45" i="3"/>
  <c r="A45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61" i="2"/>
  <c r="Q62" i="2"/>
  <c r="Q60" i="2"/>
  <c r="F16" i="2"/>
  <c r="F17" i="2" s="1"/>
  <c r="C17" i="2"/>
  <c r="G29" i="2"/>
  <c r="G33" i="2"/>
  <c r="K33" i="2"/>
  <c r="G37" i="2"/>
  <c r="K37" i="2"/>
  <c r="Q23" i="2"/>
  <c r="Q24" i="2"/>
  <c r="Q27" i="2"/>
  <c r="Q28" i="2"/>
  <c r="K29" i="2"/>
  <c r="Q29" i="2"/>
  <c r="Q30" i="2"/>
  <c r="Q32" i="2"/>
  <c r="Q33" i="2"/>
  <c r="Q34" i="2"/>
  <c r="Q35" i="2"/>
  <c r="Q36" i="2"/>
  <c r="Q37" i="2"/>
  <c r="Q38" i="2"/>
  <c r="Q45" i="2"/>
  <c r="Q58" i="2"/>
  <c r="Q59" i="2"/>
  <c r="Q57" i="2"/>
  <c r="Q50" i="2"/>
  <c r="Q55" i="2"/>
  <c r="Q56" i="2"/>
  <c r="Q54" i="2"/>
  <c r="Q53" i="2"/>
  <c r="J49" i="2"/>
  <c r="Q49" i="2"/>
  <c r="Q52" i="2"/>
  <c r="Q51" i="2"/>
  <c r="Q40" i="2"/>
  <c r="J41" i="2"/>
  <c r="Q41" i="2"/>
  <c r="Q46" i="2"/>
  <c r="Q47" i="2"/>
  <c r="Q43" i="2"/>
  <c r="Q42" i="2"/>
  <c r="Q22" i="2"/>
  <c r="I25" i="2"/>
  <c r="Q25" i="2"/>
  <c r="Q26" i="2"/>
  <c r="Q31" i="2"/>
  <c r="Q44" i="2"/>
  <c r="G60" i="2"/>
  <c r="K60" i="2"/>
  <c r="G67" i="2"/>
  <c r="K67" i="2"/>
  <c r="G59" i="2"/>
  <c r="J59" i="2"/>
  <c r="P46" i="2"/>
  <c r="R46" i="2" s="1"/>
  <c r="T46" i="2" s="1"/>
  <c r="G46" i="2"/>
  <c r="K46" i="2"/>
  <c r="G40" i="2"/>
  <c r="J40" i="2"/>
  <c r="G27" i="2"/>
  <c r="K27" i="2"/>
  <c r="G69" i="2"/>
  <c r="K69" i="2"/>
  <c r="G48" i="2"/>
  <c r="K48" i="2"/>
  <c r="G68" i="2"/>
  <c r="K68" i="2"/>
  <c r="P47" i="2"/>
  <c r="R47" i="2" s="1"/>
  <c r="T47" i="2" s="1"/>
  <c r="G47" i="2"/>
  <c r="J47" i="2"/>
  <c r="G66" i="2"/>
  <c r="K66" i="2"/>
  <c r="G58" i="2"/>
  <c r="K58" i="2"/>
  <c r="G52" i="2"/>
  <c r="J52" i="2"/>
  <c r="P39" i="2"/>
  <c r="R39" i="2" s="1"/>
  <c r="T39" i="2" s="1"/>
  <c r="G39" i="2"/>
  <c r="I39" i="2"/>
  <c r="G26" i="2"/>
  <c r="K26" i="2"/>
  <c r="G65" i="2"/>
  <c r="K65" i="2"/>
  <c r="G51" i="2"/>
  <c r="K51" i="2"/>
  <c r="G38" i="2"/>
  <c r="K38" i="2"/>
  <c r="G64" i="2"/>
  <c r="K64" i="2"/>
  <c r="G50" i="2"/>
  <c r="J50" i="2"/>
  <c r="G44" i="2"/>
  <c r="K44" i="2"/>
  <c r="G31" i="2"/>
  <c r="K31" i="2"/>
  <c r="G71" i="2"/>
  <c r="K71" i="2"/>
  <c r="P71" i="2"/>
  <c r="R71" i="2" s="1"/>
  <c r="T71" i="2" s="1"/>
  <c r="G63" i="2"/>
  <c r="G56" i="2"/>
  <c r="K56" i="2"/>
  <c r="G43" i="2"/>
  <c r="K43" i="2"/>
  <c r="G70" i="2"/>
  <c r="K70" i="2"/>
  <c r="G62" i="2"/>
  <c r="K62" i="2"/>
  <c r="G55" i="2"/>
  <c r="K55" i="2"/>
  <c r="P42" i="2"/>
  <c r="R42" i="2" s="1"/>
  <c r="T42" i="2" s="1"/>
  <c r="G42" i="2"/>
  <c r="K42" i="2"/>
  <c r="G36" i="2"/>
  <c r="K36" i="2"/>
  <c r="P61" i="2"/>
  <c r="R61" i="2" s="1"/>
  <c r="T61" i="2" s="1"/>
  <c r="G61" i="2"/>
  <c r="K61" i="2"/>
  <c r="G54" i="2"/>
  <c r="J54" i="2"/>
  <c r="G35" i="2"/>
  <c r="K35" i="2"/>
  <c r="P35" i="2"/>
  <c r="R35" i="2" s="1"/>
  <c r="T35" i="2" s="1"/>
  <c r="G22" i="2"/>
  <c r="J22" i="2"/>
  <c r="G34" i="2"/>
  <c r="K34" i="2"/>
  <c r="G28" i="2"/>
  <c r="K28" i="2"/>
  <c r="G73" i="2"/>
  <c r="K73" i="2"/>
  <c r="G57" i="2"/>
  <c r="K57" i="2"/>
  <c r="G21" i="2"/>
  <c r="H21" i="2"/>
  <c r="K63" i="2"/>
  <c r="P78" i="2" l="1"/>
  <c r="R78" i="2" s="1"/>
  <c r="T78" i="2" s="1"/>
  <c r="G77" i="2"/>
  <c r="K77" i="2" s="1"/>
  <c r="P77" i="2"/>
  <c r="R77" i="2" s="1"/>
  <c r="T77" i="2" s="1"/>
  <c r="P75" i="2"/>
  <c r="R75" i="2" s="1"/>
  <c r="T75" i="2" s="1"/>
  <c r="G76" i="2"/>
  <c r="K76" i="2" s="1"/>
  <c r="P76" i="2"/>
  <c r="R76" i="2" s="1"/>
  <c r="T76" i="2" s="1"/>
  <c r="D16" i="2"/>
  <c r="D19" i="2" s="1"/>
  <c r="G74" i="2"/>
  <c r="P74" i="2"/>
  <c r="R74" i="2" s="1"/>
  <c r="T74" i="2" s="1"/>
  <c r="W20" i="2"/>
  <c r="P70" i="2"/>
  <c r="R70" i="2" s="1"/>
  <c r="T70" i="2" s="1"/>
  <c r="P66" i="2"/>
  <c r="R66" i="2" s="1"/>
  <c r="T66" i="2" s="1"/>
  <c r="W12" i="2"/>
  <c r="P30" i="2"/>
  <c r="R30" i="2" s="1"/>
  <c r="T30" i="2" s="1"/>
  <c r="P24" i="2"/>
  <c r="R24" i="2" s="1"/>
  <c r="T24" i="2" s="1"/>
  <c r="P53" i="2"/>
  <c r="R53" i="2" s="1"/>
  <c r="T53" i="2" s="1"/>
  <c r="P28" i="2"/>
  <c r="R28" i="2" s="1"/>
  <c r="T28" i="2" s="1"/>
  <c r="P44" i="2"/>
  <c r="R44" i="2" s="1"/>
  <c r="T44" i="2" s="1"/>
  <c r="W5" i="2"/>
  <c r="W13" i="2"/>
  <c r="W18" i="2"/>
  <c r="P49" i="2"/>
  <c r="R49" i="2" s="1"/>
  <c r="T49" i="2" s="1"/>
  <c r="W3" i="2"/>
  <c r="W11" i="2"/>
  <c r="P37" i="2"/>
  <c r="R37" i="2" s="1"/>
  <c r="T37" i="2" s="1"/>
  <c r="W4" i="2"/>
  <c r="W23" i="2"/>
  <c r="D15" i="2"/>
  <c r="C19" i="2" s="1"/>
  <c r="P36" i="2"/>
  <c r="R36" i="2" s="1"/>
  <c r="T36" i="2" s="1"/>
  <c r="P55" i="2"/>
  <c r="R55" i="2" s="1"/>
  <c r="T55" i="2" s="1"/>
  <c r="P52" i="2"/>
  <c r="R52" i="2" s="1"/>
  <c r="T52" i="2" s="1"/>
  <c r="P68" i="2"/>
  <c r="R68" i="2" s="1"/>
  <c r="T68" i="2" s="1"/>
  <c r="P69" i="2"/>
  <c r="R69" i="2" s="1"/>
  <c r="T69" i="2" s="1"/>
  <c r="P40" i="2"/>
  <c r="R40" i="2" s="1"/>
  <c r="T40" i="2" s="1"/>
  <c r="P59" i="2"/>
  <c r="R59" i="2" s="1"/>
  <c r="T59" i="2" s="1"/>
  <c r="P60" i="2"/>
  <c r="R60" i="2" s="1"/>
  <c r="T60" i="2" s="1"/>
  <c r="P57" i="2"/>
  <c r="R57" i="2" s="1"/>
  <c r="T57" i="2" s="1"/>
  <c r="P45" i="2"/>
  <c r="R45" i="2" s="1"/>
  <c r="T45" i="2" s="1"/>
  <c r="P29" i="2"/>
  <c r="R29" i="2" s="1"/>
  <c r="T29" i="2" s="1"/>
  <c r="W6" i="2"/>
  <c r="W14" i="2"/>
  <c r="W22" i="2"/>
  <c r="P56" i="2"/>
  <c r="R56" i="2" s="1"/>
  <c r="T56" i="2" s="1"/>
  <c r="P26" i="2"/>
  <c r="R26" i="2" s="1"/>
  <c r="T26" i="2" s="1"/>
  <c r="W19" i="2"/>
  <c r="P43" i="2"/>
  <c r="R43" i="2" s="1"/>
  <c r="T43" i="2" s="1"/>
  <c r="P63" i="2"/>
  <c r="R63" i="2" s="1"/>
  <c r="T63" i="2" s="1"/>
  <c r="P64" i="2"/>
  <c r="R64" i="2" s="1"/>
  <c r="T64" i="2" s="1"/>
  <c r="P38" i="2"/>
  <c r="R38" i="2" s="1"/>
  <c r="T38" i="2" s="1"/>
  <c r="P65" i="2"/>
  <c r="R65" i="2" s="1"/>
  <c r="T65" i="2" s="1"/>
  <c r="P33" i="2"/>
  <c r="R33" i="2" s="1"/>
  <c r="T33" i="2" s="1"/>
  <c r="P21" i="2"/>
  <c r="R21" i="2" s="1"/>
  <c r="T21" i="2" s="1"/>
  <c r="W7" i="2"/>
  <c r="W15" i="2"/>
  <c r="P32" i="2"/>
  <c r="R32" i="2" s="1"/>
  <c r="T32" i="2" s="1"/>
  <c r="P34" i="2"/>
  <c r="R34" i="2" s="1"/>
  <c r="T34" i="2" s="1"/>
  <c r="P54" i="2"/>
  <c r="R54" i="2" s="1"/>
  <c r="T54" i="2" s="1"/>
  <c r="P31" i="2"/>
  <c r="R31" i="2" s="1"/>
  <c r="T31" i="2" s="1"/>
  <c r="P51" i="2"/>
  <c r="R51" i="2" s="1"/>
  <c r="T51" i="2" s="1"/>
  <c r="W8" i="2"/>
  <c r="W16" i="2"/>
  <c r="P23" i="2"/>
  <c r="R23" i="2" s="1"/>
  <c r="T23" i="2" s="1"/>
  <c r="P62" i="2"/>
  <c r="R62" i="2" s="1"/>
  <c r="T62" i="2" s="1"/>
  <c r="P58" i="2"/>
  <c r="R58" i="2" s="1"/>
  <c r="T58" i="2" s="1"/>
  <c r="P48" i="2"/>
  <c r="R48" i="2" s="1"/>
  <c r="T48" i="2" s="1"/>
  <c r="P27" i="2"/>
  <c r="R27" i="2" s="1"/>
  <c r="T27" i="2" s="1"/>
  <c r="P67" i="2"/>
  <c r="R67" i="2" s="1"/>
  <c r="T67" i="2" s="1"/>
  <c r="P41" i="2"/>
  <c r="R41" i="2" s="1"/>
  <c r="T41" i="2" s="1"/>
  <c r="P25" i="2"/>
  <c r="R25" i="2" s="1"/>
  <c r="T25" i="2" s="1"/>
  <c r="W9" i="2"/>
  <c r="W17" i="2"/>
  <c r="P72" i="2"/>
  <c r="R72" i="2" s="1"/>
  <c r="T72" i="2" s="1"/>
  <c r="W24" i="2"/>
  <c r="P73" i="2"/>
  <c r="R73" i="2" s="1"/>
  <c r="T73" i="2" s="1"/>
  <c r="P50" i="2"/>
  <c r="R50" i="2" s="1"/>
  <c r="T50" i="2" s="1"/>
  <c r="P22" i="2"/>
  <c r="R22" i="2" s="1"/>
  <c r="T22" i="2" s="1"/>
  <c r="W2" i="2"/>
  <c r="W10" i="2"/>
  <c r="C11" i="2"/>
  <c r="C12" i="2"/>
  <c r="O78" i="2" l="1"/>
  <c r="O77" i="2"/>
  <c r="C16" i="2"/>
  <c r="D18" i="2" s="1"/>
  <c r="O75" i="2"/>
  <c r="O74" i="2"/>
  <c r="O76" i="2"/>
  <c r="O64" i="2"/>
  <c r="O67" i="2"/>
  <c r="O57" i="2"/>
  <c r="O71" i="2"/>
  <c r="O62" i="2"/>
  <c r="O73" i="2"/>
  <c r="O58" i="2"/>
  <c r="C15" i="2"/>
  <c r="C18" i="2" s="1"/>
  <c r="O59" i="2"/>
  <c r="O66" i="2"/>
  <c r="O72" i="2"/>
  <c r="O63" i="2"/>
  <c r="O60" i="2"/>
  <c r="O65" i="2"/>
  <c r="O68" i="2"/>
  <c r="O69" i="2"/>
  <c r="O61" i="2"/>
  <c r="O70" i="2"/>
  <c r="E14" i="2"/>
  <c r="K74" i="2"/>
  <c r="F18" i="2" l="1"/>
  <c r="F19" i="2" s="1"/>
</calcChain>
</file>

<file path=xl/sharedStrings.xml><?xml version="1.0" encoding="utf-8"?>
<sst xmlns="http://schemas.openxmlformats.org/spreadsheetml/2006/main" count="487" uniqueCount="241">
  <si>
    <t>IBVS 6244</t>
  </si>
  <si>
    <t>IBVS 6196</t>
  </si>
  <si>
    <t>GCVS 4 Eph.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</si>
  <si>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</si>
  <si>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</si>
  <si>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</si>
  <si>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</si>
  <si>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</si>
  <si>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</si>
  <si>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</si>
  <si>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</si>
  <si>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</si>
  <si>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</si>
  <si>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</si>
  <si>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</si>
  <si>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</si>
  <si>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</si>
  <si>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</si>
  <si>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</si>
  <si>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</si>
  <si>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</si>
  <si>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</si>
  <si>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</si>
  <si>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</si>
  <si>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</si>
  <si>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</si>
  <si>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</si>
  <si>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aka ROTSE J122607+355548</t>
  </si>
  <si>
    <t>--Working ---</t>
  </si>
  <si>
    <t>Eph 1</t>
  </si>
  <si>
    <t>ROTSE</t>
  </si>
  <si>
    <t>I</t>
  </si>
  <si>
    <t>II</t>
  </si>
  <si>
    <t>not avail.</t>
  </si>
  <si>
    <t>IBVS 5052</t>
  </si>
  <si>
    <t>Akerlof et al.</t>
  </si>
  <si>
    <t>IBVS 5149</t>
  </si>
  <si>
    <t>IBVS 5543</t>
  </si>
  <si>
    <t>IBVS 5672</t>
  </si>
  <si>
    <t>DH CVn / GSC 2530-0488</t>
  </si>
  <si>
    <t>EW</t>
  </si>
  <si>
    <t>IBVS 5438</t>
  </si>
  <si>
    <t>IBVS 5653</t>
  </si>
  <si>
    <t>IBVS 5713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</si>
  <si>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</si>
  <si>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</si>
  <si>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</si>
  <si>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</si>
  <si>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</si>
  <si>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</si>
  <si>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</si>
  <si>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</si>
  <si>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</si>
  <si>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5837</t>
  </si>
  <si>
    <t>IBVS 5874</t>
  </si>
  <si>
    <t>IBVS 5894</t>
  </si>
  <si>
    <t>IBVS 5820</t>
  </si>
  <si>
    <t>IBVS 5875</t>
  </si>
  <si>
    <t>IBVS 5945</t>
  </si>
  <si>
    <t>CCD</t>
  </si>
  <si>
    <t>IBVS 5992</t>
  </si>
  <si>
    <t>IBVS 6010</t>
  </si>
  <si>
    <t>Add cycle</t>
  </si>
  <si>
    <t>Old Cycle</t>
  </si>
  <si>
    <t>IBVS 6029</t>
  </si>
  <si>
    <t>OEJV 0160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</si>
  <si>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</si>
  <si>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</si>
  <si>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</si>
  <si>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</si>
  <si>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</si>
  <si>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</si>
  <si>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</si>
  <si>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</si>
  <si>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</si>
  <si>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</si>
  <si>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2451244.6766 </t>
  </si>
  <si>
    <t> 07.03.1999 04:14 </t>
  </si>
  <si>
    <t> -0.0048 </t>
  </si>
  <si>
    <t>E </t>
  </si>
  <si>
    <t>?</t>
  </si>
  <si>
    <t> Akerlof et al. </t>
  </si>
  <si>
    <t> AJ 119.1901 </t>
  </si>
  <si>
    <t>2451246.6826 </t>
  </si>
  <si>
    <t> 09.03.1999 04:22 </t>
  </si>
  <si>
    <t> -0.0107 </t>
  </si>
  <si>
    <t>2451951.4176 </t>
  </si>
  <si>
    <t> 10.02.2001 22:01 </t>
  </si>
  <si>
    <t> 0.0006 </t>
  </si>
  <si>
    <t> E.Blättler </t>
  </si>
  <si>
    <t> BBS 125 </t>
  </si>
  <si>
    <t>2451951.5965 </t>
  </si>
  <si>
    <t> 11.02.2001 02:18 </t>
  </si>
  <si>
    <t> -0.0034 </t>
  </si>
  <si>
    <t>2451955.4379 </t>
  </si>
  <si>
    <t> 14.02.2001 22:30 </t>
  </si>
  <si>
    <t> -0.0030 </t>
  </si>
  <si>
    <t>2451959.4522 </t>
  </si>
  <si>
    <t> 18.02.2001 22:51 </t>
  </si>
  <si>
    <t> -0.0125 </t>
  </si>
  <si>
    <t>2451967.328 </t>
  </si>
  <si>
    <t> 26.02.2001 19:52 </t>
  </si>
  <si>
    <t> -0.002 </t>
  </si>
  <si>
    <t>2451967.5094 </t>
  </si>
  <si>
    <t> 27.02.2001 00:13 </t>
  </si>
  <si>
    <t>2451984.5213 </t>
  </si>
  <si>
    <t> 16.03.2001 00:30 </t>
  </si>
  <si>
    <t> -0.0011 </t>
  </si>
  <si>
    <t>2452045.7926 </t>
  </si>
  <si>
    <t> 16.05.2001 07:01 </t>
  </si>
  <si>
    <t> -0.0021 </t>
  </si>
  <si>
    <t> R.Bloomer et al. </t>
  </si>
  <si>
    <t>IBVS 5149 </t>
  </si>
  <si>
    <t>2452052.7426 </t>
  </si>
  <si>
    <t> 23.05.2001 05:49 </t>
  </si>
  <si>
    <t> -0.0024 </t>
  </si>
  <si>
    <t>2452053.8398 </t>
  </si>
  <si>
    <t> 24.05.2001 08:09 </t>
  </si>
  <si>
    <t> -0.0027 </t>
  </si>
  <si>
    <t>2452054.7561 </t>
  </si>
  <si>
    <t> 25.05.2001 06:08 </t>
  </si>
  <si>
    <t> -0.0009 </t>
  </si>
  <si>
    <t>2452363.318 </t>
  </si>
  <si>
    <t> 29.03.2002 19:37 </t>
  </si>
  <si>
    <t> 0.004 </t>
  </si>
  <si>
    <t> BBS 128 </t>
  </si>
  <si>
    <t>2452691.4376 </t>
  </si>
  <si>
    <t> 20.02.2003 22:30 </t>
  </si>
  <si>
    <t> -0.0033 </t>
  </si>
  <si>
    <t> BBS 129 </t>
  </si>
  <si>
    <t>2452691.625 </t>
  </si>
  <si>
    <t> 21.02.2003 03:00 </t>
  </si>
  <si>
    <t> 0.001 </t>
  </si>
  <si>
    <t>2453068.4033 </t>
  </si>
  <si>
    <t> 03.03.2004 21:40 </t>
  </si>
  <si>
    <t> 0.0001 </t>
  </si>
  <si>
    <t> BBS 130 </t>
  </si>
  <si>
    <t>2453417.7517 </t>
  </si>
  <si>
    <t> 16.02.2005 06:02 </t>
  </si>
  <si>
    <t> 0.0046 </t>
  </si>
  <si>
    <t> R.Nelson </t>
  </si>
  <si>
    <t>IBVS 5672 </t>
  </si>
  <si>
    <t>2453437.870 </t>
  </si>
  <si>
    <t> 08.03.2005 08:52 </t>
  </si>
  <si>
    <t>2453464.3920 </t>
  </si>
  <si>
    <t> 03.04.2005 21:24 </t>
  </si>
  <si>
    <t> 0.0047 </t>
  </si>
  <si>
    <t>IBVS 5653 </t>
  </si>
  <si>
    <t>2453788.4892 </t>
  </si>
  <si>
    <t> 21.02.2006 23:44 </t>
  </si>
  <si>
    <t> -0.0015 </t>
  </si>
  <si>
    <t>IBVS 5713 </t>
  </si>
  <si>
    <t>2454139.2993 </t>
  </si>
  <si>
    <t> 07.02.2007 19:10 </t>
  </si>
  <si>
    <t> 0.0014 </t>
  </si>
  <si>
    <t>C </t>
  </si>
  <si>
    <t>Ic</t>
  </si>
  <si>
    <t> K.Nakajima </t>
  </si>
  <si>
    <t>VSB 46 </t>
  </si>
  <si>
    <t>2454170.3917 </t>
  </si>
  <si>
    <t> 10.03.2007 21:24 </t>
  </si>
  <si>
    <t> 0.0004 </t>
  </si>
  <si>
    <t>o</t>
  </si>
  <si>
    <t> BBS 133 (=IBVS 5781) </t>
  </si>
  <si>
    <t>2454172.4041 </t>
  </si>
  <si>
    <t> 12.03.2007 21:41 </t>
  </si>
  <si>
    <t> 0.0008 </t>
  </si>
  <si>
    <t>-I</t>
  </si>
  <si>
    <t> M.&amp; C.Rätz </t>
  </si>
  <si>
    <t>BAVM 201 </t>
  </si>
  <si>
    <t>2454187.7679 </t>
  </si>
  <si>
    <t> 28.03.2007 06:25 </t>
  </si>
  <si>
    <t>-5079</t>
  </si>
  <si>
    <t>R</t>
  </si>
  <si>
    <t>IBVS 5820 </t>
  </si>
  <si>
    <t>2454205.5088 </t>
  </si>
  <si>
    <t> 15.04.2007 00:12 </t>
  </si>
  <si>
    <t>-5030.5</t>
  </si>
  <si>
    <t> 0.0002 </t>
  </si>
  <si>
    <t> F.Agerer </t>
  </si>
  <si>
    <t>BAVM 186 </t>
  </si>
  <si>
    <t>2454555.7694 </t>
  </si>
  <si>
    <t> 30.03.2008 06:27 </t>
  </si>
  <si>
    <t>-4073</t>
  </si>
  <si>
    <t> 0.0023 </t>
  </si>
  <si>
    <t>IBVS 5875 </t>
  </si>
  <si>
    <t>2454564.3642 </t>
  </si>
  <si>
    <t> 07.04.2008 20:44 </t>
  </si>
  <si>
    <t>-4049.5</t>
  </si>
  <si>
    <t> 0.0007 </t>
  </si>
  <si>
    <t>IBVS 5837 </t>
  </si>
  <si>
    <t>2454881.8834 </t>
  </si>
  <si>
    <t> 19.02.2009 09:12 </t>
  </si>
  <si>
    <t>-3181.5</t>
  </si>
  <si>
    <t> 0.0009 </t>
  </si>
  <si>
    <t> R.Diethelm </t>
  </si>
  <si>
    <t>IBVS 5894 </t>
  </si>
  <si>
    <t>2454996.3814 </t>
  </si>
  <si>
    <t> 13.06.2009 21:09 </t>
  </si>
  <si>
    <t>-2868.5</t>
  </si>
  <si>
    <t> 0.0019 </t>
  </si>
  <si>
    <t>2455290.8569 </t>
  </si>
  <si>
    <t> 04.04.2010 08:33 </t>
  </si>
  <si>
    <t>-2063.5</t>
  </si>
  <si>
    <t> 0.0042 </t>
  </si>
  <si>
    <t>IBVS 5945 </t>
  </si>
  <si>
    <t>2455617.8831 </t>
  </si>
  <si>
    <t> 25.02.2011 09:11 </t>
  </si>
  <si>
    <t>-1169.5</t>
  </si>
  <si>
    <t>IBVS 5992 </t>
  </si>
  <si>
    <t>2455669.4614 </t>
  </si>
  <si>
    <t> 17.04.2011 23:04 </t>
  </si>
  <si>
    <t>-1028.5</t>
  </si>
  <si>
    <t> 0.0003 </t>
  </si>
  <si>
    <t>BAVM 220 </t>
  </si>
  <si>
    <t>2455968.8739 </t>
  </si>
  <si>
    <t> 11.02.2012 08:58 </t>
  </si>
  <si>
    <t>-210</t>
  </si>
  <si>
    <t> 0.0013 </t>
  </si>
  <si>
    <t>IBVS 6029 </t>
  </si>
  <si>
    <t>2456007.46454 </t>
  </si>
  <si>
    <t> 20.03.2012 23:08 </t>
  </si>
  <si>
    <t>-104.5</t>
  </si>
  <si>
    <t> -0.00052 </t>
  </si>
  <si>
    <t> M.Audejean </t>
  </si>
  <si>
    <t>OEJV 0160 </t>
  </si>
  <si>
    <t>2456045.6913 </t>
  </si>
  <si>
    <t> 28.04.2012 04:35 </t>
  </si>
  <si>
    <t>0</t>
  </si>
  <si>
    <t> -0.0004 </t>
  </si>
  <si>
    <t>IBVS 6195</t>
  </si>
  <si>
    <t>OEJV 0179</t>
  </si>
  <si>
    <t>RHN 2019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</si>
  <si>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</si>
  <si>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</si>
  <si>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</si>
  <si>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</si>
  <si>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</si>
  <si>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0211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</si>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</sst>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9">
    <xf numFmtId="0" fontId="0" fillId="0" borderId="0" xfId="0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>
      <alignment vertical="top"/>
    </xf>
    <xf numFmtId="0" fontId="3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36" fillId="0" borderId="23" xfId="0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36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left" vertical="center" wrapText="1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5" fillId="0" borderId="0" xfId="43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DH CVn - O-C Diagr.</a:t>
            </a:r>
          </a:p>
        </c:rich>
      </c:tx>
      <c:layout>
        <c:manualLayout>
          <c:xMode val="edge"/>
          <c:yMode val="edge"/>
          <c:x val="0.401752453033483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9556549908914"/>
          <c:y val="0.14723926380368099"/>
          <c:w val="0.844806523783711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F-42E7-9FA5-D0E178531E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">
                  <c:v>2.710000000661239E-3</c:v>
                </c:pt>
                <c:pt idx="18">
                  <c:v>6.1359999963315204E-3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F-42E7-9FA5-D0E178531E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Active!$D$21:$D$348</c:f>
                <c:numCache>
                  <c:formatCode>General</c:formatCode>
                  <c:ptCount val="328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plus>
            <c:minus>
              <c:numRef>
                <c:f>Active!$D$21:$D$348</c:f>
                <c:numCache>
                  <c:formatCode>General</c:formatCode>
                  <c:ptCount val="328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5.5999998876359314E-3</c:v>
                </c:pt>
                <c:pt idx="19">
                  <c:v>-4.0400000070803799E-3</c:v>
                </c:pt>
                <c:pt idx="20">
                  <c:v>4.5599999430123717E-4</c:v>
                </c:pt>
                <c:pt idx="26">
                  <c:v>-1.0631999997713137E-2</c:v>
                </c:pt>
                <c:pt idx="28">
                  <c:v>-1.1684000004606787E-2</c:v>
                </c:pt>
                <c:pt idx="29">
                  <c:v>-1.1228000003029592E-2</c:v>
                </c:pt>
                <c:pt idx="31">
                  <c:v>-1.2151999995694496E-2</c:v>
                </c:pt>
                <c:pt idx="33">
                  <c:v>-1.4400000000023283E-2</c:v>
                </c:pt>
                <c:pt idx="38">
                  <c:v>-2.3167999999714084E-2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F-42E7-9FA5-D0E178531E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">
                  <c:v>5.5999999967752956E-3</c:v>
                </c:pt>
                <c:pt idx="3">
                  <c:v>-3.4400000004097819E-4</c:v>
                </c:pt>
                <c:pt idx="5">
                  <c:v>1.3728999998420477E-2</c:v>
                </c:pt>
                <c:pt idx="6">
                  <c:v>5.5439999996451661E-3</c:v>
                </c:pt>
                <c:pt idx="7">
                  <c:v>1.5399999974761158E-3</c:v>
                </c:pt>
                <c:pt idx="8">
                  <c:v>1.955999992787838E-3</c:v>
                </c:pt>
                <c:pt idx="9">
                  <c:v>-7.6320000007399358E-3</c:v>
                </c:pt>
                <c:pt idx="10">
                  <c:v>-4.7039999990374781E-3</c:v>
                </c:pt>
                <c:pt idx="11">
                  <c:v>3.2960000025923364E-3</c:v>
                </c:pt>
                <c:pt idx="12">
                  <c:v>1.7920000027515925E-3</c:v>
                </c:pt>
                <c:pt idx="13">
                  <c:v>3.6199999958625995E-3</c:v>
                </c:pt>
                <c:pt idx="14">
                  <c:v>2.0799999983864836E-3</c:v>
                </c:pt>
                <c:pt idx="15">
                  <c:v>1.7279999956372194E-3</c:v>
                </c:pt>
                <c:pt idx="16">
                  <c:v>1.5039999998407438E-3</c:v>
                </c:pt>
                <c:pt idx="17">
                  <c:v>3.2839999985299073E-3</c:v>
                </c:pt>
                <c:pt idx="21">
                  <c:v>-3.48400000075344E-3</c:v>
                </c:pt>
                <c:pt idx="22">
                  <c:v>-3.48400000075344E-3</c:v>
                </c:pt>
                <c:pt idx="23">
                  <c:v>-1.724000001559034E-3</c:v>
                </c:pt>
                <c:pt idx="24">
                  <c:v>-2.8640000018640421E-3</c:v>
                </c:pt>
                <c:pt idx="25">
                  <c:v>-1.9440000032773241E-3</c:v>
                </c:pt>
                <c:pt idx="27">
                  <c:v>-1.0404000000562519E-2</c:v>
                </c:pt>
                <c:pt idx="30">
                  <c:v>-1.1364000005414709E-2</c:v>
                </c:pt>
                <c:pt idx="32">
                  <c:v>-1.2712000003375579E-2</c:v>
                </c:pt>
                <c:pt idx="34">
                  <c:v>-1.654400000552414E-2</c:v>
                </c:pt>
                <c:pt idx="35">
                  <c:v>-1.6448000002128538E-2</c:v>
                </c:pt>
                <c:pt idx="36">
                  <c:v>-1.6388000003644265E-2</c:v>
                </c:pt>
                <c:pt idx="37">
                  <c:v>-2.2540000005392358E-2</c:v>
                </c:pt>
                <c:pt idx="39">
                  <c:v>-2.4516000004950911E-2</c:v>
                </c:pt>
                <c:pt idx="40">
                  <c:v>-2.6620000004186295E-2</c:v>
                </c:pt>
                <c:pt idx="41">
                  <c:v>-2.6796000005560927E-2</c:v>
                </c:pt>
                <c:pt idx="42">
                  <c:v>-3.7704000002122484E-2</c:v>
                </c:pt>
                <c:pt idx="43">
                  <c:v>-3.8464000004751142E-2</c:v>
                </c:pt>
                <c:pt idx="44">
                  <c:v>-4.147200000443263E-2</c:v>
                </c:pt>
                <c:pt idx="45">
                  <c:v>-4.0887999995902646E-2</c:v>
                </c:pt>
                <c:pt idx="46">
                  <c:v>-4.1391999999177642E-2</c:v>
                </c:pt>
                <c:pt idx="47">
                  <c:v>-4.2016000006697141E-2</c:v>
                </c:pt>
                <c:pt idx="48">
                  <c:v>-4.3019999997341074E-2</c:v>
                </c:pt>
                <c:pt idx="49">
                  <c:v>-4.8799999996845145E-2</c:v>
                </c:pt>
                <c:pt idx="50">
                  <c:v>-6.1920000000100117E-2</c:v>
                </c:pt>
                <c:pt idx="51">
                  <c:v>-5.1260000000183936E-2</c:v>
                </c:pt>
                <c:pt idx="52">
                  <c:v>-5.0726000226859469E-2</c:v>
                </c:pt>
                <c:pt idx="53">
                  <c:v>-8.0692000039562117E-2</c:v>
                </c:pt>
                <c:pt idx="54">
                  <c:v>-8.510000000387663E-2</c:v>
                </c:pt>
                <c:pt idx="55">
                  <c:v>-8.1243999833532143E-2</c:v>
                </c:pt>
                <c:pt idx="56">
                  <c:v>-8.1687999816494994E-2</c:v>
                </c:pt>
                <c:pt idx="57">
                  <c:v>-7.789200000843266E-2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F-42E7-9FA5-D0E178531E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F-42E7-9FA5-D0E178531E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F-42E7-9FA5-D0E178531E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1.1999999999999999E-3</c:v>
                  </c:pt>
                  <c:pt idx="20">
                    <c:v>3.0000000000000001E-3</c:v>
                  </c:pt>
                  <c:pt idx="21">
                    <c:v>8.9999999999999998E-4</c:v>
                  </c:pt>
                  <c:pt idx="22">
                    <c:v>8.9999999999999998E-4</c:v>
                  </c:pt>
                  <c:pt idx="23">
                    <c:v>1E-4</c:v>
                  </c:pt>
                  <c:pt idx="24">
                    <c:v>1E-3</c:v>
                  </c:pt>
                  <c:pt idx="25">
                    <c:v>1.5E-3</c:v>
                  </c:pt>
                  <c:pt idx="26">
                    <c:v>5.9999999999999995E-4</c:v>
                  </c:pt>
                  <c:pt idx="27">
                    <c:v>0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8.0000000000000004E-4</c:v>
                  </c:pt>
                  <c:pt idx="32">
                    <c:v>1E-4</c:v>
                  </c:pt>
                  <c:pt idx="34">
                    <c:v>6.9999999999999999E-4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2.9999999999999997E-4</c:v>
                  </c:pt>
                  <c:pt idx="38">
                    <c:v>1.6000000000000001E-3</c:v>
                  </c:pt>
                  <c:pt idx="39">
                    <c:v>5.9999999999999995E-4</c:v>
                  </c:pt>
                  <c:pt idx="40">
                    <c:v>5.9999999999999995E-4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1.6999999999999999E-3</c:v>
                  </c:pt>
                  <c:pt idx="46">
                    <c:v>8.9999999999999998E-4</c:v>
                  </c:pt>
                  <c:pt idx="47">
                    <c:v>8.9999999999999998E-4</c:v>
                  </c:pt>
                  <c:pt idx="48">
                    <c:v>2.7000000000000001E-3</c:v>
                  </c:pt>
                  <c:pt idx="49">
                    <c:v>5.9999999999999995E-4</c:v>
                  </c:pt>
                  <c:pt idx="50">
                    <c:v>4.0000000000000002E-4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F-42E7-9FA5-D0E178531E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41.5</c:v>
                </c:pt>
                <c:pt idx="5">
                  <c:v>186</c:v>
                </c:pt>
                <c:pt idx="6">
                  <c:v>1932</c:v>
                </c:pt>
                <c:pt idx="7">
                  <c:v>1932.5</c:v>
                </c:pt>
                <c:pt idx="8">
                  <c:v>1943</c:v>
                </c:pt>
                <c:pt idx="9">
                  <c:v>1954</c:v>
                </c:pt>
                <c:pt idx="10">
                  <c:v>1975.5</c:v>
                </c:pt>
                <c:pt idx="11">
                  <c:v>1975.5</c:v>
                </c:pt>
                <c:pt idx="12">
                  <c:v>1976</c:v>
                </c:pt>
                <c:pt idx="13">
                  <c:v>2022.5</c:v>
                </c:pt>
                <c:pt idx="14">
                  <c:v>2190</c:v>
                </c:pt>
                <c:pt idx="15">
                  <c:v>2209</c:v>
                </c:pt>
                <c:pt idx="16">
                  <c:v>2212</c:v>
                </c:pt>
                <c:pt idx="17">
                  <c:v>2214.5</c:v>
                </c:pt>
                <c:pt idx="18">
                  <c:v>3058</c:v>
                </c:pt>
                <c:pt idx="19">
                  <c:v>3955</c:v>
                </c:pt>
                <c:pt idx="20">
                  <c:v>3955.5</c:v>
                </c:pt>
                <c:pt idx="21">
                  <c:v>4985.5</c:v>
                </c:pt>
                <c:pt idx="22">
                  <c:v>4985.5</c:v>
                </c:pt>
                <c:pt idx="23">
                  <c:v>5940.5</c:v>
                </c:pt>
                <c:pt idx="24">
                  <c:v>5995.5</c:v>
                </c:pt>
                <c:pt idx="25">
                  <c:v>6068</c:v>
                </c:pt>
                <c:pt idx="26">
                  <c:v>6954</c:v>
                </c:pt>
                <c:pt idx="27">
                  <c:v>7913</c:v>
                </c:pt>
                <c:pt idx="28">
                  <c:v>7998</c:v>
                </c:pt>
                <c:pt idx="29">
                  <c:v>8003.5</c:v>
                </c:pt>
                <c:pt idx="30">
                  <c:v>8045.5</c:v>
                </c:pt>
                <c:pt idx="31">
                  <c:v>8094</c:v>
                </c:pt>
                <c:pt idx="32">
                  <c:v>9051.5</c:v>
                </c:pt>
                <c:pt idx="33">
                  <c:v>9075</c:v>
                </c:pt>
                <c:pt idx="34">
                  <c:v>9943</c:v>
                </c:pt>
                <c:pt idx="35">
                  <c:v>10256</c:v>
                </c:pt>
                <c:pt idx="36">
                  <c:v>11061</c:v>
                </c:pt>
                <c:pt idx="37">
                  <c:v>11955</c:v>
                </c:pt>
                <c:pt idx="38">
                  <c:v>12096</c:v>
                </c:pt>
                <c:pt idx="39">
                  <c:v>12914.5</c:v>
                </c:pt>
                <c:pt idx="40">
                  <c:v>13020</c:v>
                </c:pt>
                <c:pt idx="41">
                  <c:v>13124.5</c:v>
                </c:pt>
                <c:pt idx="42">
                  <c:v>15800.5</c:v>
                </c:pt>
                <c:pt idx="43">
                  <c:v>16095.5</c:v>
                </c:pt>
                <c:pt idx="44">
                  <c:v>17071.5</c:v>
                </c:pt>
                <c:pt idx="45">
                  <c:v>17098.5</c:v>
                </c:pt>
                <c:pt idx="46">
                  <c:v>17099</c:v>
                </c:pt>
                <c:pt idx="47">
                  <c:v>17139.5</c:v>
                </c:pt>
                <c:pt idx="48">
                  <c:v>17140</c:v>
                </c:pt>
                <c:pt idx="49">
                  <c:v>17712.5</c:v>
                </c:pt>
                <c:pt idx="50">
                  <c:v>19940</c:v>
                </c:pt>
                <c:pt idx="51">
                  <c:v>18020</c:v>
                </c:pt>
                <c:pt idx="52">
                  <c:v>18044.5</c:v>
                </c:pt>
                <c:pt idx="53">
                  <c:v>23186.5</c:v>
                </c:pt>
                <c:pt idx="54">
                  <c:v>23225</c:v>
                </c:pt>
                <c:pt idx="55">
                  <c:v>23230.5</c:v>
                </c:pt>
                <c:pt idx="56">
                  <c:v>23236</c:v>
                </c:pt>
                <c:pt idx="57">
                  <c:v>22911.5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6">
                  <c:v>-5.6570742298303472E-3</c:v>
                </c:pt>
                <c:pt idx="37">
                  <c:v>-1.1254348645368478E-2</c:v>
                </c:pt>
                <c:pt idx="38">
                  <c:v>-1.2137140247819131E-2</c:v>
                </c:pt>
                <c:pt idx="39">
                  <c:v>-1.7261714195378378E-2</c:v>
                </c:pt>
                <c:pt idx="40">
                  <c:v>-1.7922242663878679E-2</c:v>
                </c:pt>
                <c:pt idx="41">
                  <c:v>-1.857651019902827E-2</c:v>
                </c:pt>
                <c:pt idx="42">
                  <c:v>-3.5330767845538416E-2</c:v>
                </c:pt>
                <c:pt idx="43">
                  <c:v>-3.7177743183998982E-2</c:v>
                </c:pt>
                <c:pt idx="44">
                  <c:v>-4.3288414134295655E-2</c:v>
                </c:pt>
                <c:pt idx="45">
                  <c:v>-4.3457459334764928E-2</c:v>
                </c:pt>
                <c:pt idx="46">
                  <c:v>-4.3460589801440283E-2</c:v>
                </c:pt>
                <c:pt idx="47">
                  <c:v>-4.3714157602144199E-2</c:v>
                </c:pt>
                <c:pt idx="48">
                  <c:v>-4.3717288068819554E-2</c:v>
                </c:pt>
                <c:pt idx="49">
                  <c:v>-4.7301672412103202E-2</c:v>
                </c:pt>
                <c:pt idx="50">
                  <c:v>-6.124790145081821E-2</c:v>
                </c:pt>
                <c:pt idx="51">
                  <c:v>-4.9226909417447701E-2</c:v>
                </c:pt>
                <c:pt idx="52">
                  <c:v>-4.9380302284540184E-2</c:v>
                </c:pt>
                <c:pt idx="53">
                  <c:v>-8.1574021573910555E-2</c:v>
                </c:pt>
                <c:pt idx="54">
                  <c:v>-8.1815067507913036E-2</c:v>
                </c:pt>
                <c:pt idx="55">
                  <c:v>-8.184950264134197E-2</c:v>
                </c:pt>
                <c:pt idx="56">
                  <c:v>-8.1883937774770904E-2</c:v>
                </c:pt>
                <c:pt idx="57">
                  <c:v>-7.9852264902464276E-2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F-42E7-9FA5-D0E178531E84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Active!$W$2:$W$32</c:f>
              <c:numCache>
                <c:formatCode>General</c:formatCode>
                <c:ptCount val="31"/>
                <c:pt idx="0">
                  <c:v>4.2656046770561135E-3</c:v>
                </c:pt>
                <c:pt idx="1">
                  <c:v>3.2281689667802041E-3</c:v>
                </c:pt>
                <c:pt idx="2">
                  <c:v>1.9732862373380584E-3</c:v>
                </c:pt>
                <c:pt idx="3">
                  <c:v>5.0095648872967727E-4</c:v>
                </c:pt>
                <c:pt idx="4">
                  <c:v>-1.1888202790449399E-3</c:v>
                </c:pt>
                <c:pt idx="5">
                  <c:v>-3.0960440659857924E-3</c:v>
                </c:pt>
                <c:pt idx="6">
                  <c:v>-5.220714872092881E-3</c:v>
                </c:pt>
                <c:pt idx="7">
                  <c:v>-7.5628326973662058E-3</c:v>
                </c:pt>
                <c:pt idx="8">
                  <c:v>-1.0122397541805765E-2</c:v>
                </c:pt>
                <c:pt idx="9">
                  <c:v>-1.2899409405411563E-2</c:v>
                </c:pt>
                <c:pt idx="10">
                  <c:v>-1.5893868288183594E-2</c:v>
                </c:pt>
                <c:pt idx="11">
                  <c:v>-1.9105774190121862E-2</c:v>
                </c:pt>
                <c:pt idx="12">
                  <c:v>-2.2535127111226363E-2</c:v>
                </c:pt>
                <c:pt idx="13">
                  <c:v>-2.6181927051497106E-2</c:v>
                </c:pt>
                <c:pt idx="14">
                  <c:v>-3.0046174010934082E-2</c:v>
                </c:pt>
                <c:pt idx="15">
                  <c:v>-3.4127867989537292E-2</c:v>
                </c:pt>
                <c:pt idx="16">
                  <c:v>-3.8427008987306735E-2</c:v>
                </c:pt>
                <c:pt idx="17">
                  <c:v>-4.2943597004242419E-2</c:v>
                </c:pt>
                <c:pt idx="18">
                  <c:v>-4.7677632040344337E-2</c:v>
                </c:pt>
                <c:pt idx="19">
                  <c:v>-5.2629114095612495E-2</c:v>
                </c:pt>
                <c:pt idx="20">
                  <c:v>-5.779804317004688E-2</c:v>
                </c:pt>
                <c:pt idx="21">
                  <c:v>-6.3184419263647512E-2</c:v>
                </c:pt>
                <c:pt idx="22">
                  <c:v>-6.8788242376414371E-2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0F-42E7-9FA5-D0E17853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8144"/>
        <c:axId val="1"/>
      </c:scatterChart>
      <c:valAx>
        <c:axId val="55850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05769679290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078848560700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55832914502707"/>
          <c:y val="0.92024539877300615"/>
          <c:w val="0.598248203955732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19</xdr:col>
      <xdr:colOff>76200</xdr:colOff>
      <xdr:row>18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DA316BB-157B-476C-F137-3205007E8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3" TargetMode="External"/><Relationship Id="rId13" Type="http://schemas.openxmlformats.org/officeDocument/2006/relationships/hyperlink" Target="http://www.konkoly.hu/cgi-bin/IBVS?5875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149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konkoly.hu/cgi-bin/IBVS?5149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149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konkoly.hu/cgi-bin/IBVS?5820" TargetMode="External"/><Relationship Id="rId5" Type="http://schemas.openxmlformats.org/officeDocument/2006/relationships/hyperlink" Target="http://www.konkoly.hu/cgi-bin/IBVS?5672" TargetMode="External"/><Relationship Id="rId15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149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www.konkoly.hu/cgi-bin/IBVS?5837" TargetMode="External"/><Relationship Id="rId22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4"/>
  <sheetViews>
    <sheetView tabSelected="1" workbookViewId="0">
      <pane xSplit="14" ySplit="21" topLeftCell="O63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" customWidth="1"/>
  </cols>
  <sheetData>
    <row r="1" spans="1:23" ht="21" thickBot="1" x14ac:dyDescent="0.25">
      <c r="A1" s="5" t="s">
        <v>39</v>
      </c>
      <c r="V1" s="2" t="s">
        <v>10</v>
      </c>
      <c r="W1" s="3" t="s">
        <v>21</v>
      </c>
    </row>
    <row r="2" spans="1:23" s="25" customFormat="1" ht="12.95" customHeight="1" x14ac:dyDescent="0.2">
      <c r="A2" s="25" t="s">
        <v>23</v>
      </c>
      <c r="B2" s="26" t="s">
        <v>40</v>
      </c>
      <c r="C2" s="25" t="s">
        <v>27</v>
      </c>
      <c r="S2" s="27"/>
      <c r="V2" s="28">
        <v>0</v>
      </c>
      <c r="W2" s="28">
        <f t="shared" ref="W2:W17" si="0">+D$11+D$12*V2+D$13*V2^2</f>
        <v>4.2656046770561135E-3</v>
      </c>
    </row>
    <row r="3" spans="1:23" s="25" customFormat="1" ht="12.95" customHeight="1" thickBot="1" x14ac:dyDescent="0.25">
      <c r="S3" s="27"/>
      <c r="V3" s="28">
        <v>1000</v>
      </c>
      <c r="W3" s="28">
        <f t="shared" si="0"/>
        <v>3.2281689667802041E-3</v>
      </c>
    </row>
    <row r="4" spans="1:23" s="25" customFormat="1" ht="12.95" customHeight="1" thickTop="1" thickBot="1" x14ac:dyDescent="0.25">
      <c r="A4" s="29" t="s">
        <v>2</v>
      </c>
      <c r="C4" s="30" t="s">
        <v>33</v>
      </c>
      <c r="D4" s="31" t="s">
        <v>33</v>
      </c>
      <c r="S4" s="27"/>
      <c r="V4" s="28">
        <v>2000</v>
      </c>
      <c r="W4" s="28">
        <f t="shared" si="0"/>
        <v>1.9732862373380584E-3</v>
      </c>
    </row>
    <row r="5" spans="1:23" s="25" customFormat="1" ht="12.95" customHeight="1" thickTop="1" x14ac:dyDescent="0.2">
      <c r="A5" s="32" t="s">
        <v>45</v>
      </c>
      <c r="C5" s="33">
        <v>-9.5</v>
      </c>
      <c r="D5" s="25" t="s">
        <v>46</v>
      </c>
      <c r="S5" s="27"/>
      <c r="V5" s="28">
        <v>3000</v>
      </c>
      <c r="W5" s="28">
        <f t="shared" si="0"/>
        <v>5.0095648872967727E-4</v>
      </c>
    </row>
    <row r="6" spans="1:23" s="25" customFormat="1" ht="12.95" customHeight="1" x14ac:dyDescent="0.2">
      <c r="A6" s="25" t="s">
        <v>28</v>
      </c>
      <c r="C6" s="25" t="s">
        <v>29</v>
      </c>
      <c r="S6" s="27"/>
      <c r="V6" s="28">
        <v>4000</v>
      </c>
      <c r="W6" s="28">
        <f t="shared" si="0"/>
        <v>-1.1888202790449399E-3</v>
      </c>
    </row>
    <row r="7" spans="1:23" s="25" customFormat="1" ht="12.95" customHeight="1" x14ac:dyDescent="0.2">
      <c r="A7" s="25" t="s">
        <v>3</v>
      </c>
      <c r="C7" s="25">
        <v>51244.671000000002</v>
      </c>
      <c r="S7" s="27"/>
      <c r="V7" s="28">
        <v>5000</v>
      </c>
      <c r="W7" s="28">
        <f t="shared" si="0"/>
        <v>-3.0960440659857924E-3</v>
      </c>
    </row>
    <row r="8" spans="1:23" s="25" customFormat="1" ht="12.95" customHeight="1" x14ac:dyDescent="0.2">
      <c r="A8" s="25" t="s">
        <v>4</v>
      </c>
      <c r="C8" s="25">
        <v>0.36580800000000002</v>
      </c>
      <c r="S8" s="27"/>
      <c r="V8" s="28">
        <v>6000</v>
      </c>
      <c r="W8" s="28">
        <f t="shared" si="0"/>
        <v>-5.220714872092881E-3</v>
      </c>
    </row>
    <row r="9" spans="1:23" s="25" customFormat="1" ht="12.95" customHeight="1" x14ac:dyDescent="0.2">
      <c r="A9" s="34" t="s">
        <v>52</v>
      </c>
      <c r="B9" s="35">
        <v>63</v>
      </c>
      <c r="C9" s="36" t="str">
        <f>"F"&amp;B9</f>
        <v>F63</v>
      </c>
      <c r="D9" s="37" t="str">
        <f>"G"&amp;B9</f>
        <v>G63</v>
      </c>
      <c r="S9" s="27"/>
      <c r="V9" s="28">
        <v>7000</v>
      </c>
      <c r="W9" s="28">
        <f t="shared" si="0"/>
        <v>-7.5628326973662058E-3</v>
      </c>
    </row>
    <row r="10" spans="1:23" s="25" customFormat="1" ht="12.95" customHeight="1" thickBot="1" x14ac:dyDescent="0.25">
      <c r="C10" s="38" t="s">
        <v>19</v>
      </c>
      <c r="D10" s="38" t="s">
        <v>20</v>
      </c>
      <c r="S10" s="27"/>
      <c r="V10" s="28">
        <v>8000</v>
      </c>
      <c r="W10" s="28">
        <f t="shared" si="0"/>
        <v>-1.0122397541805765E-2</v>
      </c>
    </row>
    <row r="11" spans="1:23" s="25" customFormat="1" ht="12.95" customHeight="1" x14ac:dyDescent="0.2">
      <c r="A11" s="25" t="s">
        <v>15</v>
      </c>
      <c r="C11" s="37">
        <f ca="1">INTERCEPT(INDIRECT($D$9):G992,INDIRECT($C$9):F992)</f>
        <v>6.3595109562415042E-2</v>
      </c>
      <c r="D11" s="27">
        <f>+E11*F11</f>
        <v>4.2656046770561135E-3</v>
      </c>
      <c r="E11" s="39">
        <v>4.2656046770561135E-3</v>
      </c>
      <c r="F11" s="25">
        <v>1</v>
      </c>
      <c r="S11" s="27"/>
      <c r="V11" s="28">
        <v>9000</v>
      </c>
      <c r="W11" s="28">
        <f t="shared" si="0"/>
        <v>-1.2899409405411563E-2</v>
      </c>
    </row>
    <row r="12" spans="1:23" s="25" customFormat="1" ht="12.95" customHeight="1" x14ac:dyDescent="0.2">
      <c r="A12" s="25" t="s">
        <v>16</v>
      </c>
      <c r="C12" s="37">
        <f ca="1">SLOPE(INDIRECT($D$9):G992,INDIRECT($C$9):F992)</f>
        <v>-6.2609333507138037E-6</v>
      </c>
      <c r="D12" s="27">
        <f>+E12*F12</f>
        <v>-9.2871220069279174E-7</v>
      </c>
      <c r="E12" s="40">
        <v>-9.2871220069279167E-3</v>
      </c>
      <c r="F12" s="41">
        <v>1E-4</v>
      </c>
      <c r="S12" s="27"/>
      <c r="V12" s="28">
        <v>10000</v>
      </c>
      <c r="W12" s="28">
        <f t="shared" si="0"/>
        <v>-1.5893868288183594E-2</v>
      </c>
    </row>
    <row r="13" spans="1:23" s="25" customFormat="1" ht="12.95" customHeight="1" thickBot="1" x14ac:dyDescent="0.25">
      <c r="A13" s="25" t="s">
        <v>18</v>
      </c>
      <c r="C13" s="27" t="s">
        <v>13</v>
      </c>
      <c r="D13" s="27">
        <f>+E13*F13</f>
        <v>-1.087235095831179E-10</v>
      </c>
      <c r="E13" s="42">
        <v>-1.087235095831179E-2</v>
      </c>
      <c r="F13" s="41">
        <v>1E-8</v>
      </c>
      <c r="S13" s="27"/>
      <c r="V13" s="28">
        <v>11000</v>
      </c>
      <c r="W13" s="28">
        <f t="shared" si="0"/>
        <v>-1.9105774190121862E-2</v>
      </c>
    </row>
    <row r="14" spans="1:23" s="25" customFormat="1" ht="12.95" customHeight="1" x14ac:dyDescent="0.2">
      <c r="E14" s="25">
        <f>SUM(T21:T950)</f>
        <v>5.9828279456743876E-4</v>
      </c>
      <c r="S14" s="27"/>
      <c r="V14" s="28">
        <v>12000</v>
      </c>
      <c r="W14" s="28">
        <f t="shared" si="0"/>
        <v>-2.2535127111226363E-2</v>
      </c>
    </row>
    <row r="15" spans="1:23" s="25" customFormat="1" ht="12.95" customHeight="1" x14ac:dyDescent="0.2">
      <c r="A15" s="43" t="s">
        <v>17</v>
      </c>
      <c r="C15" s="44">
        <f ca="1">(C7+C11)+(C8+C12)*INT(MAX(F21:F3533))</f>
        <v>59744.503804062224</v>
      </c>
      <c r="D15" s="37">
        <f>+C7+INT(MAX(F21:F1588))*C8+D11+D12*INT(MAX(F21:F4023))+D13*INT(MAX(F21:F4050)^2)</f>
        <v>59744.509672953536</v>
      </c>
      <c r="E15" s="45" t="s">
        <v>62</v>
      </c>
      <c r="F15" s="33">
        <v>1</v>
      </c>
      <c r="S15" s="27"/>
      <c r="V15" s="28">
        <v>13000</v>
      </c>
      <c r="W15" s="28">
        <f t="shared" si="0"/>
        <v>-2.6181927051497106E-2</v>
      </c>
    </row>
    <row r="16" spans="1:23" s="25" customFormat="1" ht="12.95" customHeight="1" x14ac:dyDescent="0.2">
      <c r="A16" s="29" t="s">
        <v>5</v>
      </c>
      <c r="C16" s="46">
        <f ca="1">+C8+C12</f>
        <v>0.36580173906664931</v>
      </c>
      <c r="D16" s="37">
        <f>+C8+D12+2*D13*MAX(F21:F896)</f>
        <v>0.36580201868886197</v>
      </c>
      <c r="E16" s="45" t="s">
        <v>47</v>
      </c>
      <c r="F16" s="47">
        <f ca="1">NOW()+15018.5+$C$5/24</f>
        <v>60339.726951620367</v>
      </c>
      <c r="S16" s="27"/>
      <c r="V16" s="28">
        <v>14000</v>
      </c>
      <c r="W16" s="28">
        <f t="shared" si="0"/>
        <v>-3.0046174010934082E-2</v>
      </c>
    </row>
    <row r="17" spans="1:23" s="25" customFormat="1" ht="12.95" customHeight="1" thickBot="1" x14ac:dyDescent="0.25">
      <c r="A17" s="45" t="s">
        <v>44</v>
      </c>
      <c r="C17" s="25">
        <f>COUNT(C21:C2191)</f>
        <v>58</v>
      </c>
      <c r="E17" s="45" t="s">
        <v>63</v>
      </c>
      <c r="F17" s="47">
        <f ca="1">ROUND(2*(F16-$C$7)/$C$8,0)/2+F15</f>
        <v>24864</v>
      </c>
      <c r="S17" s="27"/>
      <c r="V17" s="28">
        <v>15000</v>
      </c>
      <c r="W17" s="28">
        <f t="shared" si="0"/>
        <v>-3.4127867989537292E-2</v>
      </c>
    </row>
    <row r="18" spans="1:23" s="25" customFormat="1" ht="12.95" customHeight="1" thickTop="1" thickBot="1" x14ac:dyDescent="0.25">
      <c r="A18" s="29" t="s">
        <v>233</v>
      </c>
      <c r="C18" s="48">
        <f ca="1">+C15</f>
        <v>59744.503804062224</v>
      </c>
      <c r="D18" s="49">
        <f ca="1">C16</f>
        <v>0.36580173906664931</v>
      </c>
      <c r="E18" s="45" t="s">
        <v>48</v>
      </c>
      <c r="F18" s="37">
        <f ca="1">ROUND(2*(F16-$C$15)/$C$16,0)/2+F15</f>
        <v>1628</v>
      </c>
      <c r="S18" s="27"/>
      <c r="V18" s="28">
        <v>16000</v>
      </c>
      <c r="W18" s="28">
        <f t="shared" ref="W18:W24" si="1">+D$11+D$12*V18+D$13*V18^2</f>
        <v>-3.8427008987306735E-2</v>
      </c>
    </row>
    <row r="19" spans="1:23" s="25" customFormat="1" ht="12.95" customHeight="1" thickBot="1" x14ac:dyDescent="0.25">
      <c r="A19" s="29" t="s">
        <v>234</v>
      </c>
      <c r="C19" s="50">
        <f>+D15</f>
        <v>59744.509672953536</v>
      </c>
      <c r="D19" s="51">
        <f>+D16</f>
        <v>0.36580201868886197</v>
      </c>
      <c r="E19" s="45" t="s">
        <v>49</v>
      </c>
      <c r="F19" s="52">
        <f ca="1">+$C$15+$C$16*F18-15018.5-$C$5/24</f>
        <v>45321.924868596063</v>
      </c>
      <c r="S19" s="27"/>
      <c r="V19" s="28">
        <v>17000</v>
      </c>
      <c r="W19" s="28">
        <f t="shared" si="1"/>
        <v>-4.2943597004242419E-2</v>
      </c>
    </row>
    <row r="20" spans="1:23" s="25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12</v>
      </c>
      <c r="E20" s="38" t="s">
        <v>9</v>
      </c>
      <c r="F20" s="38" t="s">
        <v>10</v>
      </c>
      <c r="G20" s="38" t="s">
        <v>11</v>
      </c>
      <c r="H20" s="53" t="s">
        <v>72</v>
      </c>
      <c r="I20" s="53" t="s">
        <v>75</v>
      </c>
      <c r="J20" s="53" t="s">
        <v>69</v>
      </c>
      <c r="K20" s="53" t="s">
        <v>59</v>
      </c>
      <c r="L20" s="53" t="s">
        <v>24</v>
      </c>
      <c r="M20" s="53" t="s">
        <v>25</v>
      </c>
      <c r="N20" s="53" t="s">
        <v>26</v>
      </c>
      <c r="O20" s="53" t="s">
        <v>22</v>
      </c>
      <c r="P20" s="54" t="s">
        <v>21</v>
      </c>
      <c r="Q20" s="38" t="s">
        <v>14</v>
      </c>
      <c r="R20" s="53" t="s">
        <v>235</v>
      </c>
      <c r="S20" s="55" t="s">
        <v>236</v>
      </c>
      <c r="T20" s="53" t="s">
        <v>237</v>
      </c>
      <c r="V20" s="28">
        <v>18000</v>
      </c>
      <c r="W20" s="28">
        <f t="shared" si="1"/>
        <v>-4.7677632040344337E-2</v>
      </c>
    </row>
    <row r="21" spans="1:23" s="25" customFormat="1" ht="12.95" customHeight="1" x14ac:dyDescent="0.2">
      <c r="A21" s="25" t="s">
        <v>30</v>
      </c>
      <c r="B21" s="27" t="s">
        <v>31</v>
      </c>
      <c r="C21" s="56">
        <v>51244.671000000002</v>
      </c>
      <c r="D21" s="56"/>
      <c r="E21" s="25">
        <f t="shared" ref="E21:E52" si="2">+(C21-C$7)/C$8</f>
        <v>0</v>
      </c>
      <c r="F21" s="25">
        <f t="shared" ref="F21:F52" si="3">ROUND(2*E21,0)/2</f>
        <v>0</v>
      </c>
      <c r="G21" s="25">
        <f t="shared" ref="G21:G52" si="4">+C21-(C$7+F21*C$8)</f>
        <v>0</v>
      </c>
      <c r="H21" s="25">
        <f>+G21</f>
        <v>0</v>
      </c>
      <c r="P21" s="34">
        <f>+D$11+D$12*F21+D$13*F21^2</f>
        <v>4.2656046770561135E-3</v>
      </c>
      <c r="Q21" s="57">
        <f t="shared" ref="Q21:Q52" si="5">+C21-15018.5</f>
        <v>36226.171000000002</v>
      </c>
      <c r="R21" s="28">
        <f>+(P21-G21)^2</f>
        <v>1.8195383260922989E-5</v>
      </c>
      <c r="S21" s="58">
        <v>0.1</v>
      </c>
      <c r="T21" s="28">
        <f>+S21*R21</f>
        <v>1.8195383260922991E-6</v>
      </c>
      <c r="V21" s="28">
        <v>19000</v>
      </c>
      <c r="W21" s="28">
        <f t="shared" si="1"/>
        <v>-5.2629114095612495E-2</v>
      </c>
    </row>
    <row r="22" spans="1:23" s="25" customFormat="1" ht="12.95" customHeight="1" x14ac:dyDescent="0.2">
      <c r="A22" s="56" t="s">
        <v>35</v>
      </c>
      <c r="B22" s="27"/>
      <c r="C22" s="56">
        <v>51244.67659999989</v>
      </c>
      <c r="D22" s="56"/>
      <c r="E22" s="25">
        <f t="shared" si="2"/>
        <v>1.5308576869931579E-2</v>
      </c>
      <c r="F22" s="25">
        <f t="shared" si="3"/>
        <v>0</v>
      </c>
      <c r="G22" s="25">
        <f t="shared" si="4"/>
        <v>5.5999998876359314E-3</v>
      </c>
      <c r="J22" s="25">
        <f>+G22</f>
        <v>5.5999998876359314E-3</v>
      </c>
      <c r="P22" s="34">
        <f t="shared" ref="P22:P71" si="6">+D$11+D$12*F22+D$13*F22^2</f>
        <v>4.2656046770561135E-3</v>
      </c>
      <c r="Q22" s="59">
        <f t="shared" si="5"/>
        <v>36226.17659999989</v>
      </c>
      <c r="R22" s="28">
        <f t="shared" ref="R22:R71" si="7">+(P22-G22)^2</f>
        <v>1.7806105780183565E-6</v>
      </c>
      <c r="S22" s="27">
        <v>1</v>
      </c>
      <c r="T22" s="28">
        <f t="shared" ref="T22:T71" si="8">+S22*R22</f>
        <v>1.7806105780183565E-6</v>
      </c>
      <c r="V22" s="28">
        <v>20000</v>
      </c>
      <c r="W22" s="28">
        <f t="shared" si="1"/>
        <v>-5.779804317004688E-2</v>
      </c>
    </row>
    <row r="23" spans="1:23" s="25" customFormat="1" ht="12.95" customHeight="1" x14ac:dyDescent="0.2">
      <c r="A23" s="7" t="s">
        <v>36</v>
      </c>
      <c r="B23" s="8" t="s">
        <v>31</v>
      </c>
      <c r="C23" s="7">
        <v>51244.676599999999</v>
      </c>
      <c r="D23" s="7" t="s">
        <v>59</v>
      </c>
      <c r="E23" s="25">
        <f t="shared" si="2"/>
        <v>1.5308577168283075E-2</v>
      </c>
      <c r="F23" s="25">
        <f t="shared" si="3"/>
        <v>0</v>
      </c>
      <c r="G23" s="25">
        <f t="shared" si="4"/>
        <v>5.5999999967752956E-3</v>
      </c>
      <c r="K23" s="25">
        <f>+G23</f>
        <v>5.5999999967752956E-3</v>
      </c>
      <c r="P23" s="34">
        <f t="shared" si="6"/>
        <v>4.2656046770561135E-3</v>
      </c>
      <c r="Q23" s="59">
        <f t="shared" si="5"/>
        <v>36226.176599999999</v>
      </c>
      <c r="R23" s="28">
        <f t="shared" si="7"/>
        <v>1.780610869288458E-6</v>
      </c>
      <c r="S23" s="27">
        <v>1</v>
      </c>
      <c r="T23" s="28">
        <f t="shared" si="8"/>
        <v>1.780610869288458E-6</v>
      </c>
      <c r="V23" s="28">
        <v>21000</v>
      </c>
      <c r="W23" s="28">
        <f t="shared" si="1"/>
        <v>-6.3184419263647512E-2</v>
      </c>
    </row>
    <row r="24" spans="1:23" s="25" customFormat="1" ht="12.95" customHeight="1" x14ac:dyDescent="0.2">
      <c r="A24" s="7" t="s">
        <v>36</v>
      </c>
      <c r="B24" s="8" t="s">
        <v>32</v>
      </c>
      <c r="C24" s="7">
        <v>51246.6826</v>
      </c>
      <c r="D24" s="7" t="s">
        <v>59</v>
      </c>
      <c r="E24" s="25">
        <f t="shared" si="2"/>
        <v>5.4990596159679326</v>
      </c>
      <c r="F24" s="25">
        <f t="shared" si="3"/>
        <v>5.5</v>
      </c>
      <c r="G24" s="25">
        <f t="shared" si="4"/>
        <v>-3.4400000004097819E-4</v>
      </c>
      <c r="K24" s="25">
        <f>+G24</f>
        <v>-3.4400000004097819E-4</v>
      </c>
      <c r="P24" s="34">
        <f t="shared" si="6"/>
        <v>4.2604934710661381E-3</v>
      </c>
      <c r="Q24" s="59">
        <f t="shared" si="5"/>
        <v>36228.1826</v>
      </c>
      <c r="R24" s="28">
        <f t="shared" si="7"/>
        <v>2.120136012546806E-5</v>
      </c>
      <c r="S24" s="27">
        <v>1</v>
      </c>
      <c r="T24" s="28">
        <f t="shared" si="8"/>
        <v>2.120136012546806E-5</v>
      </c>
      <c r="V24" s="28">
        <v>22000</v>
      </c>
      <c r="W24" s="28">
        <f t="shared" si="1"/>
        <v>-6.8788242376414371E-2</v>
      </c>
    </row>
    <row r="25" spans="1:23" s="25" customFormat="1" ht="12.95" customHeight="1" x14ac:dyDescent="0.2">
      <c r="A25" s="60" t="s">
        <v>30</v>
      </c>
      <c r="B25" s="8" t="s">
        <v>32</v>
      </c>
      <c r="C25" s="7">
        <v>51259.854742000003</v>
      </c>
      <c r="D25" s="7"/>
      <c r="E25" s="25">
        <f t="shared" si="2"/>
        <v>41.507408257886851</v>
      </c>
      <c r="F25" s="25">
        <f t="shared" si="3"/>
        <v>41.5</v>
      </c>
      <c r="G25" s="25">
        <f t="shared" si="4"/>
        <v>2.710000000661239E-3</v>
      </c>
      <c r="I25" s="25">
        <f>+G25</f>
        <v>2.710000000661239E-3</v>
      </c>
      <c r="P25" s="34">
        <f t="shared" si="6"/>
        <v>4.2268758716629828E-3</v>
      </c>
      <c r="Q25" s="59">
        <f t="shared" si="5"/>
        <v>36241.354742000003</v>
      </c>
      <c r="R25" s="28">
        <f t="shared" si="7"/>
        <v>2.300912408027299E-6</v>
      </c>
      <c r="S25" s="58">
        <v>0.1</v>
      </c>
      <c r="T25" s="28">
        <f t="shared" si="8"/>
        <v>2.3009124080272991E-7</v>
      </c>
    </row>
    <row r="26" spans="1:23" s="25" customFormat="1" ht="12.95" customHeight="1" x14ac:dyDescent="0.2">
      <c r="A26" s="60" t="s">
        <v>30</v>
      </c>
      <c r="B26" s="8" t="s">
        <v>31</v>
      </c>
      <c r="C26" s="7">
        <v>51312.725016999997</v>
      </c>
      <c r="D26" s="7"/>
      <c r="E26" s="25">
        <f t="shared" si="2"/>
        <v>186.03753061714048</v>
      </c>
      <c r="F26" s="25">
        <f t="shared" si="3"/>
        <v>186</v>
      </c>
      <c r="G26" s="25">
        <f t="shared" si="4"/>
        <v>1.3728999998420477E-2</v>
      </c>
      <c r="K26" s="25">
        <f t="shared" ref="K26:K38" si="9">+G26</f>
        <v>1.3728999998420477E-2</v>
      </c>
      <c r="P26" s="34">
        <f t="shared" si="6"/>
        <v>4.0891028091897168E-3</v>
      </c>
      <c r="Q26" s="59">
        <f t="shared" si="5"/>
        <v>36294.225016999997</v>
      </c>
      <c r="R26" s="28">
        <f t="shared" si="7"/>
        <v>9.2927617818939129E-5</v>
      </c>
      <c r="S26" s="27">
        <v>1</v>
      </c>
      <c r="T26" s="28">
        <f t="shared" si="8"/>
        <v>9.2927617818939129E-5</v>
      </c>
    </row>
    <row r="27" spans="1:23" s="25" customFormat="1" ht="12.95" customHeight="1" x14ac:dyDescent="0.2">
      <c r="A27" s="7" t="s">
        <v>36</v>
      </c>
      <c r="B27" s="8" t="s">
        <v>31</v>
      </c>
      <c r="C27" s="7">
        <v>51951.417600000001</v>
      </c>
      <c r="D27" s="7" t="s">
        <v>59</v>
      </c>
      <c r="E27" s="25">
        <f t="shared" si="2"/>
        <v>1932.0151554914014</v>
      </c>
      <c r="F27" s="25">
        <f t="shared" si="3"/>
        <v>1932</v>
      </c>
      <c r="G27" s="25">
        <f t="shared" si="4"/>
        <v>5.5439999996451661E-3</v>
      </c>
      <c r="K27" s="25">
        <f t="shared" si="9"/>
        <v>5.5439999996451661E-3</v>
      </c>
      <c r="P27" s="34">
        <f t="shared" si="6"/>
        <v>2.0655087240834639E-3</v>
      </c>
      <c r="Q27" s="59">
        <f t="shared" si="5"/>
        <v>36932.917600000001</v>
      </c>
      <c r="R27" s="28">
        <f t="shared" si="7"/>
        <v>1.2099901554158878E-5</v>
      </c>
      <c r="S27" s="27">
        <v>1</v>
      </c>
      <c r="T27" s="28">
        <f t="shared" si="8"/>
        <v>1.2099901554158878E-5</v>
      </c>
    </row>
    <row r="28" spans="1:23" s="25" customFormat="1" ht="12.95" customHeight="1" x14ac:dyDescent="0.2">
      <c r="A28" s="7" t="s">
        <v>36</v>
      </c>
      <c r="B28" s="8" t="s">
        <v>32</v>
      </c>
      <c r="C28" s="7">
        <v>51951.5965</v>
      </c>
      <c r="D28" s="7" t="s">
        <v>59</v>
      </c>
      <c r="E28" s="25">
        <f t="shared" si="2"/>
        <v>1932.5042098587169</v>
      </c>
      <c r="F28" s="25">
        <f t="shared" si="3"/>
        <v>1932.5</v>
      </c>
      <c r="G28" s="25">
        <f t="shared" si="4"/>
        <v>1.5399999974761158E-3</v>
      </c>
      <c r="K28" s="25">
        <f t="shared" si="9"/>
        <v>1.5399999974761158E-3</v>
      </c>
      <c r="P28" s="34">
        <f t="shared" si="6"/>
        <v>2.0648342869817255E-3</v>
      </c>
      <c r="Q28" s="59">
        <f t="shared" si="5"/>
        <v>36933.0965</v>
      </c>
      <c r="R28" s="28">
        <f t="shared" si="7"/>
        <v>2.7545103144085807E-7</v>
      </c>
      <c r="S28" s="27">
        <v>1</v>
      </c>
      <c r="T28" s="28">
        <f t="shared" si="8"/>
        <v>2.7545103144085807E-7</v>
      </c>
    </row>
    <row r="29" spans="1:23" s="25" customFormat="1" ht="12.95" customHeight="1" x14ac:dyDescent="0.2">
      <c r="A29" s="7" t="s">
        <v>36</v>
      </c>
      <c r="B29" s="8" t="s">
        <v>31</v>
      </c>
      <c r="C29" s="7">
        <v>51955.437899999997</v>
      </c>
      <c r="D29" s="7" t="s">
        <v>59</v>
      </c>
      <c r="E29" s="25">
        <f t="shared" si="2"/>
        <v>1943.0053470673004</v>
      </c>
      <c r="F29" s="25">
        <f t="shared" si="3"/>
        <v>1943</v>
      </c>
      <c r="G29" s="25">
        <f t="shared" si="4"/>
        <v>1.955999992787838E-3</v>
      </c>
      <c r="K29" s="25">
        <f t="shared" si="9"/>
        <v>1.955999992787838E-3</v>
      </c>
      <c r="P29" s="34">
        <f t="shared" si="6"/>
        <v>2.0506585502798633E-3</v>
      </c>
      <c r="Q29" s="59">
        <f t="shared" si="5"/>
        <v>36936.937899999997</v>
      </c>
      <c r="R29" s="28">
        <f t="shared" si="7"/>
        <v>8.9602425064710538E-9</v>
      </c>
      <c r="S29" s="27">
        <v>1</v>
      </c>
      <c r="T29" s="28">
        <f t="shared" si="8"/>
        <v>8.9602425064710538E-9</v>
      </c>
    </row>
    <row r="30" spans="1:23" s="25" customFormat="1" ht="12.95" customHeight="1" x14ac:dyDescent="0.2">
      <c r="A30" s="7" t="s">
        <v>36</v>
      </c>
      <c r="B30" s="8" t="s">
        <v>31</v>
      </c>
      <c r="C30" s="7">
        <v>51959.4522</v>
      </c>
      <c r="D30" s="7" t="s">
        <v>59</v>
      </c>
      <c r="E30" s="25">
        <f t="shared" si="2"/>
        <v>1953.9791365962406</v>
      </c>
      <c r="F30" s="25">
        <f t="shared" si="3"/>
        <v>1954</v>
      </c>
      <c r="G30" s="25">
        <f t="shared" si="4"/>
        <v>-7.6320000007399358E-3</v>
      </c>
      <c r="K30" s="25">
        <f t="shared" si="9"/>
        <v>-7.6320000007399358E-3</v>
      </c>
      <c r="P30" s="34">
        <f t="shared" si="6"/>
        <v>2.0357820653869431E-3</v>
      </c>
      <c r="Q30" s="59">
        <f t="shared" si="5"/>
        <v>36940.9522</v>
      </c>
      <c r="R30" s="28">
        <f t="shared" si="7"/>
        <v>9.3466010078124481E-5</v>
      </c>
      <c r="S30" s="27">
        <v>1</v>
      </c>
      <c r="T30" s="28">
        <f t="shared" si="8"/>
        <v>9.3466010078124481E-5</v>
      </c>
    </row>
    <row r="31" spans="1:23" s="25" customFormat="1" ht="12.95" customHeight="1" x14ac:dyDescent="0.2">
      <c r="A31" s="60" t="s">
        <v>34</v>
      </c>
      <c r="B31" s="8"/>
      <c r="C31" s="7">
        <v>51967.32</v>
      </c>
      <c r="D31" s="7"/>
      <c r="E31" s="25">
        <f t="shared" si="2"/>
        <v>1975.4871407951646</v>
      </c>
      <c r="F31" s="25">
        <f t="shared" si="3"/>
        <v>1975.5</v>
      </c>
      <c r="G31" s="25">
        <f t="shared" si="4"/>
        <v>-4.7039999990374781E-3</v>
      </c>
      <c r="K31" s="25">
        <f t="shared" si="9"/>
        <v>-4.7039999990374781E-3</v>
      </c>
      <c r="P31" s="34">
        <f t="shared" si="6"/>
        <v>2.0066293289075503E-3</v>
      </c>
      <c r="Q31" s="59">
        <f t="shared" si="5"/>
        <v>36948.82</v>
      </c>
      <c r="R31" s="28">
        <f t="shared" si="7"/>
        <v>4.503254597707594E-5</v>
      </c>
      <c r="S31" s="27">
        <v>1</v>
      </c>
      <c r="T31" s="28">
        <f t="shared" si="8"/>
        <v>4.503254597707594E-5</v>
      </c>
    </row>
    <row r="32" spans="1:23" s="25" customFormat="1" ht="12.95" customHeight="1" x14ac:dyDescent="0.2">
      <c r="A32" s="7" t="s">
        <v>36</v>
      </c>
      <c r="B32" s="8" t="s">
        <v>32</v>
      </c>
      <c r="C32" s="7">
        <v>51967.328000000001</v>
      </c>
      <c r="D32" s="7" t="s">
        <v>59</v>
      </c>
      <c r="E32" s="25">
        <f t="shared" si="2"/>
        <v>1975.5090101911364</v>
      </c>
      <c r="F32" s="25">
        <f t="shared" si="3"/>
        <v>1975.5</v>
      </c>
      <c r="G32" s="25">
        <f t="shared" si="4"/>
        <v>3.2960000025923364E-3</v>
      </c>
      <c r="K32" s="25">
        <f t="shared" si="9"/>
        <v>3.2960000025923364E-3</v>
      </c>
      <c r="P32" s="34">
        <f t="shared" si="6"/>
        <v>2.0066293289075503E-3</v>
      </c>
      <c r="Q32" s="59">
        <f t="shared" si="5"/>
        <v>36948.828000000001</v>
      </c>
      <c r="R32" s="28">
        <f t="shared" si="7"/>
        <v>1.6624767341583592E-6</v>
      </c>
      <c r="S32" s="27">
        <v>1</v>
      </c>
      <c r="T32" s="28">
        <f t="shared" si="8"/>
        <v>1.6624767341583592E-6</v>
      </c>
    </row>
    <row r="33" spans="1:20" s="25" customFormat="1" ht="12.95" customHeight="1" x14ac:dyDescent="0.2">
      <c r="A33" s="7" t="s">
        <v>36</v>
      </c>
      <c r="B33" s="8" t="s">
        <v>31</v>
      </c>
      <c r="C33" s="7">
        <v>51967.509400000003</v>
      </c>
      <c r="D33" s="7" t="s">
        <v>59</v>
      </c>
      <c r="E33" s="25">
        <f t="shared" si="2"/>
        <v>1976.004898744698</v>
      </c>
      <c r="F33" s="25">
        <f t="shared" si="3"/>
        <v>1976</v>
      </c>
      <c r="G33" s="25">
        <f t="shared" si="4"/>
        <v>1.7920000027515925E-3</v>
      </c>
      <c r="K33" s="25">
        <f t="shared" si="9"/>
        <v>1.7920000027515925E-3</v>
      </c>
      <c r="P33" s="34">
        <f t="shared" si="6"/>
        <v>2.0059501623331446E-3</v>
      </c>
      <c r="Q33" s="59">
        <f t="shared" si="5"/>
        <v>36949.009400000003</v>
      </c>
      <c r="R33" s="28">
        <f t="shared" si="7"/>
        <v>4.5774670784971583E-8</v>
      </c>
      <c r="S33" s="27">
        <v>1</v>
      </c>
      <c r="T33" s="28">
        <f t="shared" si="8"/>
        <v>4.5774670784971583E-8</v>
      </c>
    </row>
    <row r="34" spans="1:20" s="25" customFormat="1" ht="12.95" customHeight="1" x14ac:dyDescent="0.2">
      <c r="A34" s="7" t="s">
        <v>36</v>
      </c>
      <c r="B34" s="8" t="s">
        <v>32</v>
      </c>
      <c r="C34" s="7">
        <v>51984.5213</v>
      </c>
      <c r="D34" s="7" t="s">
        <v>59</v>
      </c>
      <c r="E34" s="25">
        <f t="shared" si="2"/>
        <v>2022.5098959016702</v>
      </c>
      <c r="F34" s="25">
        <f t="shared" si="3"/>
        <v>2022.5</v>
      </c>
      <c r="G34" s="25">
        <f t="shared" si="4"/>
        <v>3.6199999958625995E-3</v>
      </c>
      <c r="K34" s="25">
        <f t="shared" si="9"/>
        <v>3.6199999958625995E-3</v>
      </c>
      <c r="P34" s="34">
        <f t="shared" si="6"/>
        <v>1.9425500556832635E-3</v>
      </c>
      <c r="Q34" s="59">
        <f t="shared" si="5"/>
        <v>36966.0213</v>
      </c>
      <c r="R34" s="28">
        <f t="shared" si="7"/>
        <v>2.8138383018076578E-6</v>
      </c>
      <c r="S34" s="27">
        <v>1</v>
      </c>
      <c r="T34" s="28">
        <f t="shared" si="8"/>
        <v>2.8138383018076578E-6</v>
      </c>
    </row>
    <row r="35" spans="1:20" s="25" customFormat="1" ht="12.95" customHeight="1" x14ac:dyDescent="0.2">
      <c r="A35" s="7" t="s">
        <v>36</v>
      </c>
      <c r="B35" s="8" t="s">
        <v>31</v>
      </c>
      <c r="C35" s="7">
        <v>52045.792600000001</v>
      </c>
      <c r="D35" s="7" t="s">
        <v>59</v>
      </c>
      <c r="E35" s="25">
        <f t="shared" si="2"/>
        <v>2190.0056860429477</v>
      </c>
      <c r="F35" s="25">
        <f t="shared" si="3"/>
        <v>2190</v>
      </c>
      <c r="G35" s="25">
        <f t="shared" si="4"/>
        <v>2.0799999983864836E-3</v>
      </c>
      <c r="K35" s="25">
        <f t="shared" si="9"/>
        <v>2.0799999983864836E-3</v>
      </c>
      <c r="P35" s="34">
        <f t="shared" si="6"/>
        <v>1.710276133227308E-3</v>
      </c>
      <c r="Q35" s="59">
        <f t="shared" si="5"/>
        <v>37027.292600000001</v>
      </c>
      <c r="R35" s="28">
        <f t="shared" si="7"/>
        <v>1.3669573646824025E-7</v>
      </c>
      <c r="S35" s="27">
        <v>1</v>
      </c>
      <c r="T35" s="28">
        <f t="shared" si="8"/>
        <v>1.3669573646824025E-7</v>
      </c>
    </row>
    <row r="36" spans="1:20" s="25" customFormat="1" ht="12.95" customHeight="1" x14ac:dyDescent="0.2">
      <c r="A36" s="7" t="s">
        <v>36</v>
      </c>
      <c r="B36" s="8" t="s">
        <v>31</v>
      </c>
      <c r="C36" s="7">
        <v>52052.742599999998</v>
      </c>
      <c r="D36" s="7" t="s">
        <v>59</v>
      </c>
      <c r="E36" s="25">
        <f t="shared" si="2"/>
        <v>2209.0047237895169</v>
      </c>
      <c r="F36" s="25">
        <f t="shared" si="3"/>
        <v>2209</v>
      </c>
      <c r="G36" s="25">
        <f t="shared" si="4"/>
        <v>1.7279999956372194E-3</v>
      </c>
      <c r="K36" s="25">
        <f t="shared" si="9"/>
        <v>1.7279999956372194E-3</v>
      </c>
      <c r="P36" s="34">
        <f t="shared" si="6"/>
        <v>1.6835433817596784E-3</v>
      </c>
      <c r="Q36" s="59">
        <f t="shared" si="5"/>
        <v>37034.242599999998</v>
      </c>
      <c r="R36" s="28">
        <f t="shared" si="7"/>
        <v>1.9763905174567748E-9</v>
      </c>
      <c r="S36" s="27">
        <v>1</v>
      </c>
      <c r="T36" s="28">
        <f t="shared" si="8"/>
        <v>1.9763905174567748E-9</v>
      </c>
    </row>
    <row r="37" spans="1:20" s="25" customFormat="1" ht="12.95" customHeight="1" x14ac:dyDescent="0.2">
      <c r="A37" s="7" t="s">
        <v>36</v>
      </c>
      <c r="B37" s="8" t="s">
        <v>31</v>
      </c>
      <c r="C37" s="7">
        <v>52053.839800000002</v>
      </c>
      <c r="D37" s="7" t="s">
        <v>59</v>
      </c>
      <c r="E37" s="25">
        <f t="shared" si="2"/>
        <v>2212.0041114464402</v>
      </c>
      <c r="F37" s="25">
        <f t="shared" si="3"/>
        <v>2212</v>
      </c>
      <c r="G37" s="25">
        <f t="shared" si="4"/>
        <v>1.5039999998407438E-3</v>
      </c>
      <c r="K37" s="25">
        <f t="shared" si="9"/>
        <v>1.5039999998407438E-3</v>
      </c>
      <c r="P37" s="34">
        <f t="shared" si="6"/>
        <v>1.6793152452499989E-3</v>
      </c>
      <c r="Q37" s="59">
        <f t="shared" si="5"/>
        <v>37035.339800000002</v>
      </c>
      <c r="R37" s="28">
        <f t="shared" si="7"/>
        <v>3.0735435272907339E-8</v>
      </c>
      <c r="S37" s="27">
        <v>1</v>
      </c>
      <c r="T37" s="28">
        <f t="shared" si="8"/>
        <v>3.0735435272907339E-8</v>
      </c>
    </row>
    <row r="38" spans="1:20" s="25" customFormat="1" ht="12.95" customHeight="1" x14ac:dyDescent="0.2">
      <c r="A38" s="7" t="s">
        <v>36</v>
      </c>
      <c r="B38" s="8" t="s">
        <v>32</v>
      </c>
      <c r="C38" s="7">
        <v>52054.756099999999</v>
      </c>
      <c r="D38" s="7" t="s">
        <v>59</v>
      </c>
      <c r="E38" s="25">
        <f t="shared" si="2"/>
        <v>2214.508977387035</v>
      </c>
      <c r="F38" s="25">
        <f t="shared" si="3"/>
        <v>2214.5</v>
      </c>
      <c r="G38" s="25">
        <f t="shared" si="4"/>
        <v>3.2839999985299073E-3</v>
      </c>
      <c r="K38" s="25">
        <f t="shared" si="9"/>
        <v>3.2839999985299073E-3</v>
      </c>
      <c r="P38" s="34">
        <f t="shared" si="6"/>
        <v>1.675790303210343E-3</v>
      </c>
      <c r="Q38" s="59">
        <f t="shared" si="5"/>
        <v>37036.256099999999</v>
      </c>
      <c r="R38" s="28">
        <f t="shared" si="7"/>
        <v>2.5863384241198456E-6</v>
      </c>
      <c r="S38" s="27">
        <v>1</v>
      </c>
      <c r="T38" s="28">
        <f t="shared" si="8"/>
        <v>2.5863384241198456E-6</v>
      </c>
    </row>
    <row r="39" spans="1:20" s="25" customFormat="1" ht="12.95" customHeight="1" x14ac:dyDescent="0.2">
      <c r="A39" s="61" t="s">
        <v>125</v>
      </c>
      <c r="B39" s="62" t="s">
        <v>32</v>
      </c>
      <c r="C39" s="61">
        <v>52363.317999999999</v>
      </c>
      <c r="D39" s="61" t="s">
        <v>75</v>
      </c>
      <c r="E39" s="25">
        <f t="shared" si="2"/>
        <v>3058.0167738266991</v>
      </c>
      <c r="F39" s="25">
        <f t="shared" si="3"/>
        <v>3058</v>
      </c>
      <c r="G39" s="25">
        <f t="shared" si="4"/>
        <v>6.1359999963315204E-3</v>
      </c>
      <c r="I39" s="25">
        <f>+G39</f>
        <v>6.1359999963315204E-3</v>
      </c>
      <c r="P39" s="34">
        <f t="shared" si="6"/>
        <v>4.0888965386833291E-4</v>
      </c>
      <c r="Q39" s="59">
        <f t="shared" si="5"/>
        <v>37344.817999999999</v>
      </c>
      <c r="R39" s="28">
        <f t="shared" si="7"/>
        <v>3.2799792874748809E-5</v>
      </c>
      <c r="S39" s="58">
        <v>0.1</v>
      </c>
      <c r="T39" s="28">
        <f t="shared" si="8"/>
        <v>3.2799792874748813E-6</v>
      </c>
    </row>
    <row r="40" spans="1:20" s="25" customFormat="1" ht="12.95" customHeight="1" x14ac:dyDescent="0.2">
      <c r="A40" s="60" t="s">
        <v>41</v>
      </c>
      <c r="B40" s="8" t="s">
        <v>31</v>
      </c>
      <c r="C40" s="7">
        <v>52691.437599999997</v>
      </c>
      <c r="D40" s="7">
        <v>1.1999999999999999E-3</v>
      </c>
      <c r="E40" s="25">
        <f t="shared" si="2"/>
        <v>3954.9889559550238</v>
      </c>
      <c r="F40" s="25">
        <f t="shared" si="3"/>
        <v>3955</v>
      </c>
      <c r="G40" s="25">
        <f t="shared" si="4"/>
        <v>-4.0400000070803799E-3</v>
      </c>
      <c r="J40" s="25">
        <f>+G40</f>
        <v>-4.0400000070803799E-3</v>
      </c>
      <c r="P40" s="34">
        <f t="shared" si="6"/>
        <v>-1.1081079316707478E-3</v>
      </c>
      <c r="Q40" s="59">
        <f t="shared" si="5"/>
        <v>37672.937599999997</v>
      </c>
      <c r="R40" s="28">
        <f t="shared" si="7"/>
        <v>8.595991141849798E-6</v>
      </c>
      <c r="S40" s="27">
        <v>1</v>
      </c>
      <c r="T40" s="28">
        <f t="shared" si="8"/>
        <v>8.595991141849798E-6</v>
      </c>
    </row>
    <row r="41" spans="1:20" s="25" customFormat="1" ht="12.95" customHeight="1" x14ac:dyDescent="0.2">
      <c r="A41" s="60" t="s">
        <v>41</v>
      </c>
      <c r="B41" s="8" t="s">
        <v>32</v>
      </c>
      <c r="C41" s="7">
        <v>52691.625</v>
      </c>
      <c r="D41" s="7">
        <v>3.0000000000000001E-3</v>
      </c>
      <c r="E41" s="25">
        <f t="shared" si="2"/>
        <v>3955.5012465555642</v>
      </c>
      <c r="F41" s="25">
        <f t="shared" si="3"/>
        <v>3955.5</v>
      </c>
      <c r="G41" s="25">
        <f t="shared" si="4"/>
        <v>4.5599999430123717E-4</v>
      </c>
      <c r="J41" s="25">
        <f>+G41</f>
        <v>4.5599999430123717E-4</v>
      </c>
      <c r="P41" s="34">
        <f t="shared" si="6"/>
        <v>-1.1090023164323725E-3</v>
      </c>
      <c r="Q41" s="59">
        <f t="shared" si="5"/>
        <v>37673.125</v>
      </c>
      <c r="R41" s="28">
        <f t="shared" si="7"/>
        <v>2.4492322326015376E-6</v>
      </c>
      <c r="S41" s="27">
        <v>1</v>
      </c>
      <c r="T41" s="28">
        <f t="shared" si="8"/>
        <v>2.4492322326015376E-6</v>
      </c>
    </row>
    <row r="42" spans="1:20" s="25" customFormat="1" ht="12.95" customHeight="1" x14ac:dyDescent="0.2">
      <c r="A42" s="7" t="s">
        <v>37</v>
      </c>
      <c r="B42" s="8" t="s">
        <v>32</v>
      </c>
      <c r="C42" s="7">
        <v>53068.403299999998</v>
      </c>
      <c r="D42" s="7">
        <v>8.9999999999999998E-4</v>
      </c>
      <c r="E42" s="25">
        <f t="shared" si="2"/>
        <v>4985.4904758780449</v>
      </c>
      <c r="F42" s="25">
        <f t="shared" si="3"/>
        <v>4985.5</v>
      </c>
      <c r="G42" s="25">
        <f t="shared" si="4"/>
        <v>-3.48400000075344E-3</v>
      </c>
      <c r="K42" s="25">
        <f>+G42</f>
        <v>-3.48400000075344E-3</v>
      </c>
      <c r="P42" s="34">
        <f t="shared" si="6"/>
        <v>-3.0668356893040847E-3</v>
      </c>
      <c r="Q42" s="59">
        <f t="shared" si="5"/>
        <v>38049.903299999998</v>
      </c>
      <c r="R42" s="28">
        <f t="shared" si="7"/>
        <v>1.7402606274701467E-7</v>
      </c>
      <c r="S42" s="27">
        <v>1</v>
      </c>
      <c r="T42" s="28">
        <f t="shared" si="8"/>
        <v>1.7402606274701467E-7</v>
      </c>
    </row>
    <row r="43" spans="1:20" s="25" customFormat="1" ht="12.95" customHeight="1" x14ac:dyDescent="0.2">
      <c r="A43" s="7" t="s">
        <v>37</v>
      </c>
      <c r="B43" s="8" t="s">
        <v>32</v>
      </c>
      <c r="C43" s="7">
        <v>53068.403299999998</v>
      </c>
      <c r="D43" s="7">
        <v>8.9999999999999998E-4</v>
      </c>
      <c r="E43" s="25">
        <f t="shared" si="2"/>
        <v>4985.4904758780449</v>
      </c>
      <c r="F43" s="25">
        <f t="shared" si="3"/>
        <v>4985.5</v>
      </c>
      <c r="G43" s="25">
        <f t="shared" si="4"/>
        <v>-3.48400000075344E-3</v>
      </c>
      <c r="K43" s="25">
        <f>+G43</f>
        <v>-3.48400000075344E-3</v>
      </c>
      <c r="P43" s="34">
        <f t="shared" si="6"/>
        <v>-3.0668356893040847E-3</v>
      </c>
      <c r="Q43" s="59">
        <f t="shared" si="5"/>
        <v>38049.903299999998</v>
      </c>
      <c r="R43" s="28">
        <f t="shared" si="7"/>
        <v>1.7402606274701467E-7</v>
      </c>
      <c r="S43" s="27">
        <v>1</v>
      </c>
      <c r="T43" s="28">
        <f t="shared" si="8"/>
        <v>1.7402606274701467E-7</v>
      </c>
    </row>
    <row r="44" spans="1:20" s="25" customFormat="1" ht="12.95" customHeight="1" x14ac:dyDescent="0.2">
      <c r="A44" s="63" t="s">
        <v>38</v>
      </c>
      <c r="B44" s="8"/>
      <c r="C44" s="7">
        <v>53417.751700000001</v>
      </c>
      <c r="D44" s="7">
        <v>1E-4</v>
      </c>
      <c r="E44" s="25">
        <f t="shared" si="2"/>
        <v>5940.4952871451651</v>
      </c>
      <c r="F44" s="25">
        <f t="shared" si="3"/>
        <v>5940.5</v>
      </c>
      <c r="G44" s="25">
        <f t="shared" si="4"/>
        <v>-1.724000001559034E-3</v>
      </c>
      <c r="K44" s="25">
        <f>+G44</f>
        <v>-1.724000001559034E-3</v>
      </c>
      <c r="P44" s="34">
        <f t="shared" si="6"/>
        <v>-5.0882128187141155E-3</v>
      </c>
      <c r="Q44" s="59">
        <f t="shared" si="5"/>
        <v>38399.251700000001</v>
      </c>
      <c r="R44" s="28">
        <f t="shared" si="7"/>
        <v>1.131792787911053E-5</v>
      </c>
      <c r="S44" s="27">
        <v>1</v>
      </c>
      <c r="T44" s="28">
        <f t="shared" si="8"/>
        <v>1.131792787911053E-5</v>
      </c>
    </row>
    <row r="45" spans="1:20" s="25" customFormat="1" ht="12.95" customHeight="1" x14ac:dyDescent="0.2">
      <c r="A45" s="7" t="s">
        <v>38</v>
      </c>
      <c r="B45" s="8" t="s">
        <v>32</v>
      </c>
      <c r="C45" s="7">
        <v>53437.87</v>
      </c>
      <c r="D45" s="7">
        <v>1E-3</v>
      </c>
      <c r="E45" s="25">
        <f t="shared" si="2"/>
        <v>5995.4921707562444</v>
      </c>
      <c r="F45" s="25">
        <f t="shared" si="3"/>
        <v>5995.5</v>
      </c>
      <c r="G45" s="25">
        <f t="shared" si="4"/>
        <v>-2.8640000018640421E-3</v>
      </c>
      <c r="K45" s="25">
        <f>+G45</f>
        <v>-2.8640000018640421E-3</v>
      </c>
      <c r="P45" s="34">
        <f t="shared" si="6"/>
        <v>-5.2106667993233446E-3</v>
      </c>
      <c r="Q45" s="59">
        <f t="shared" si="5"/>
        <v>38419.370000000003</v>
      </c>
      <c r="R45" s="28">
        <f t="shared" si="7"/>
        <v>5.5068450582978991E-6</v>
      </c>
      <c r="S45" s="27">
        <v>1</v>
      </c>
      <c r="T45" s="28">
        <f t="shared" si="8"/>
        <v>5.5068450582978991E-6</v>
      </c>
    </row>
    <row r="46" spans="1:20" s="25" customFormat="1" ht="12.95" customHeight="1" x14ac:dyDescent="0.2">
      <c r="A46" s="60" t="s">
        <v>42</v>
      </c>
      <c r="B46" s="8" t="s">
        <v>31</v>
      </c>
      <c r="C46" s="7">
        <v>53464.392</v>
      </c>
      <c r="D46" s="7">
        <v>1.5E-3</v>
      </c>
      <c r="E46" s="25">
        <f t="shared" si="2"/>
        <v>6067.9946857367731</v>
      </c>
      <c r="F46" s="25">
        <f t="shared" si="3"/>
        <v>6068</v>
      </c>
      <c r="G46" s="25">
        <f t="shared" si="4"/>
        <v>-1.9440000032773241E-3</v>
      </c>
      <c r="K46" s="25">
        <f>+G46</f>
        <v>-1.9440000032773241E-3</v>
      </c>
      <c r="P46" s="34">
        <f t="shared" si="6"/>
        <v>-5.3730884230681281E-3</v>
      </c>
      <c r="Q46" s="59">
        <f t="shared" si="5"/>
        <v>38445.892</v>
      </c>
      <c r="R46" s="28">
        <f t="shared" si="7"/>
        <v>1.1758647390743393E-5</v>
      </c>
      <c r="S46" s="27">
        <v>1</v>
      </c>
      <c r="T46" s="28">
        <f t="shared" si="8"/>
        <v>1.1758647390743393E-5</v>
      </c>
    </row>
    <row r="47" spans="1:20" s="25" customFormat="1" ht="12.95" customHeight="1" x14ac:dyDescent="0.2">
      <c r="A47" s="60" t="s">
        <v>43</v>
      </c>
      <c r="B47" s="8" t="s">
        <v>31</v>
      </c>
      <c r="C47" s="7">
        <v>53788.489200000004</v>
      </c>
      <c r="D47" s="7">
        <v>5.9999999999999995E-4</v>
      </c>
      <c r="E47" s="25">
        <f t="shared" si="2"/>
        <v>6953.9709355727637</v>
      </c>
      <c r="F47" s="25">
        <f t="shared" si="3"/>
        <v>6954</v>
      </c>
      <c r="G47" s="25">
        <f t="shared" si="4"/>
        <v>-1.0631999997713137E-2</v>
      </c>
      <c r="J47" s="25">
        <f>+G47</f>
        <v>-1.0631999997713137E-2</v>
      </c>
      <c r="P47" s="34">
        <f t="shared" si="6"/>
        <v>-7.4503240549090872E-3</v>
      </c>
      <c r="Q47" s="59">
        <f t="shared" si="5"/>
        <v>38769.989200000004</v>
      </c>
      <c r="R47" s="28">
        <f t="shared" si="7"/>
        <v>1.0123061805018043E-5</v>
      </c>
      <c r="S47" s="27">
        <v>1</v>
      </c>
      <c r="T47" s="28">
        <f t="shared" si="8"/>
        <v>1.0123061805018043E-5</v>
      </c>
    </row>
    <row r="48" spans="1:20" s="25" customFormat="1" ht="12.95" customHeight="1" x14ac:dyDescent="0.2">
      <c r="A48" s="61" t="s">
        <v>158</v>
      </c>
      <c r="B48" s="62" t="s">
        <v>32</v>
      </c>
      <c r="C48" s="61">
        <v>54139.299299999999</v>
      </c>
      <c r="D48" s="61" t="s">
        <v>75</v>
      </c>
      <c r="E48" s="25">
        <f t="shared" si="2"/>
        <v>7912.9715588505351</v>
      </c>
      <c r="F48" s="25">
        <f t="shared" si="3"/>
        <v>7913</v>
      </c>
      <c r="G48" s="25">
        <f t="shared" si="4"/>
        <v>-1.0404000000562519E-2</v>
      </c>
      <c r="K48" s="25">
        <f>+G48</f>
        <v>-1.0404000000562519E-2</v>
      </c>
      <c r="P48" s="34">
        <f t="shared" si="6"/>
        <v>-9.8910793832498282E-3</v>
      </c>
      <c r="Q48" s="59">
        <f t="shared" si="5"/>
        <v>39120.799299999999</v>
      </c>
      <c r="R48" s="28">
        <f t="shared" si="7"/>
        <v>2.6308755966443159E-7</v>
      </c>
      <c r="S48" s="27">
        <v>1</v>
      </c>
      <c r="T48" s="28">
        <f t="shared" si="8"/>
        <v>2.6308755966443159E-7</v>
      </c>
    </row>
    <row r="49" spans="1:20" s="25" customFormat="1" ht="12.95" customHeight="1" x14ac:dyDescent="0.2">
      <c r="A49" s="7" t="s">
        <v>50</v>
      </c>
      <c r="B49" s="8" t="s">
        <v>31</v>
      </c>
      <c r="C49" s="7">
        <v>54170.3917</v>
      </c>
      <c r="D49" s="7">
        <v>5.9999999999999995E-4</v>
      </c>
      <c r="E49" s="25">
        <f t="shared" si="2"/>
        <v>7997.9680597471843</v>
      </c>
      <c r="F49" s="25">
        <f t="shared" si="3"/>
        <v>7998</v>
      </c>
      <c r="G49" s="25">
        <f t="shared" si="4"/>
        <v>-1.1684000004606787E-2</v>
      </c>
      <c r="J49" s="25">
        <f>+G49</f>
        <v>-1.1684000004606787E-2</v>
      </c>
      <c r="P49" s="34">
        <f t="shared" si="6"/>
        <v>-1.0117061399991759E-2</v>
      </c>
      <c r="Q49" s="59">
        <f t="shared" si="5"/>
        <v>39151.8917</v>
      </c>
      <c r="R49" s="28">
        <f t="shared" si="7"/>
        <v>2.4552965906328926E-6</v>
      </c>
      <c r="S49" s="27">
        <v>1</v>
      </c>
      <c r="T49" s="28">
        <f t="shared" si="8"/>
        <v>2.4552965906328926E-6</v>
      </c>
    </row>
    <row r="50" spans="1:20" s="25" customFormat="1" ht="12.95" customHeight="1" x14ac:dyDescent="0.2">
      <c r="A50" s="7" t="s">
        <v>54</v>
      </c>
      <c r="B50" s="8" t="s">
        <v>31</v>
      </c>
      <c r="C50" s="7">
        <v>54172.4041</v>
      </c>
      <c r="D50" s="7">
        <v>4.0000000000000002E-4</v>
      </c>
      <c r="E50" s="25">
        <f t="shared" si="2"/>
        <v>8003.4693063027526</v>
      </c>
      <c r="F50" s="25">
        <f t="shared" si="3"/>
        <v>8003.5</v>
      </c>
      <c r="G50" s="25">
        <f t="shared" si="4"/>
        <v>-1.1228000003029592E-2</v>
      </c>
      <c r="J50" s="25">
        <f>+G50</f>
        <v>-1.1228000003029592E-2</v>
      </c>
      <c r="P50" s="34">
        <f t="shared" si="6"/>
        <v>-1.0131737882907839E-2</v>
      </c>
      <c r="Q50" s="59">
        <f t="shared" si="5"/>
        <v>39153.9041</v>
      </c>
      <c r="R50" s="28">
        <f t="shared" si="7"/>
        <v>1.2017906360138418E-6</v>
      </c>
      <c r="S50" s="27">
        <v>1</v>
      </c>
      <c r="T50" s="28">
        <f t="shared" si="8"/>
        <v>1.2017906360138418E-6</v>
      </c>
    </row>
    <row r="51" spans="1:20" s="25" customFormat="1" ht="12.95" customHeight="1" x14ac:dyDescent="0.2">
      <c r="A51" s="64" t="s">
        <v>56</v>
      </c>
      <c r="B51" s="8"/>
      <c r="C51" s="7">
        <v>54187.767899999999</v>
      </c>
      <c r="D51" s="7">
        <v>2.0000000000000001E-4</v>
      </c>
      <c r="E51" s="25">
        <f t="shared" si="2"/>
        <v>8045.468934523019</v>
      </c>
      <c r="F51" s="25">
        <f t="shared" si="3"/>
        <v>8045.5</v>
      </c>
      <c r="G51" s="25">
        <f t="shared" si="4"/>
        <v>-1.1364000005414709E-2</v>
      </c>
      <c r="K51" s="25">
        <f>+G51</f>
        <v>-1.1364000005414709E-2</v>
      </c>
      <c r="P51" s="34">
        <f t="shared" si="6"/>
        <v>-1.0244029746759514E-2</v>
      </c>
      <c r="Q51" s="59">
        <f t="shared" si="5"/>
        <v>39169.267899999999</v>
      </c>
      <c r="R51" s="28">
        <f t="shared" si="7"/>
        <v>1.2543333802721864E-6</v>
      </c>
      <c r="S51" s="27">
        <v>1</v>
      </c>
      <c r="T51" s="28">
        <f t="shared" si="8"/>
        <v>1.2543333802721864E-6</v>
      </c>
    </row>
    <row r="52" spans="1:20" s="25" customFormat="1" ht="12.95" customHeight="1" x14ac:dyDescent="0.2">
      <c r="A52" s="7" t="s">
        <v>51</v>
      </c>
      <c r="B52" s="65"/>
      <c r="C52" s="7">
        <v>54205.508800000003</v>
      </c>
      <c r="D52" s="7">
        <v>8.0000000000000004E-4</v>
      </c>
      <c r="E52" s="25">
        <f t="shared" si="2"/>
        <v>8093.9667803875282</v>
      </c>
      <c r="F52" s="25">
        <f t="shared" si="3"/>
        <v>8094</v>
      </c>
      <c r="G52" s="25">
        <f t="shared" si="4"/>
        <v>-1.2151999995694496E-2</v>
      </c>
      <c r="J52" s="25">
        <f>+G52</f>
        <v>-1.2151999995694496E-2</v>
      </c>
      <c r="P52" s="34">
        <f t="shared" si="6"/>
        <v>-1.0374177328014574E-2</v>
      </c>
      <c r="Q52" s="59">
        <f t="shared" si="5"/>
        <v>39187.008800000003</v>
      </c>
      <c r="R52" s="28">
        <f t="shared" si="7"/>
        <v>3.1606534377165539E-6</v>
      </c>
      <c r="S52" s="27">
        <v>1</v>
      </c>
      <c r="T52" s="28">
        <f t="shared" si="8"/>
        <v>3.1606534377165539E-6</v>
      </c>
    </row>
    <row r="53" spans="1:20" s="25" customFormat="1" ht="12.95" customHeight="1" x14ac:dyDescent="0.2">
      <c r="A53" s="64" t="s">
        <v>57</v>
      </c>
      <c r="B53" s="8"/>
      <c r="C53" s="7">
        <v>54555.769399999997</v>
      </c>
      <c r="D53" s="7">
        <v>1E-4</v>
      </c>
      <c r="E53" s="25">
        <f t="shared" ref="E53:E71" si="10">+(C53-C$7)/C$8</f>
        <v>9051.4652495297942</v>
      </c>
      <c r="F53" s="25">
        <f t="shared" ref="F53:F73" si="11">ROUND(2*E53,0)/2</f>
        <v>9051.5</v>
      </c>
      <c r="G53" s="25">
        <f t="shared" ref="G53:G71" si="12">+C53-(C$7+F53*C$8)</f>
        <v>-1.2712000003375579E-2</v>
      </c>
      <c r="K53" s="25">
        <f>+G53</f>
        <v>-1.2712000003375579E-2</v>
      </c>
      <c r="P53" s="34">
        <f t="shared" si="6"/>
        <v>-1.3048313139059084E-2</v>
      </c>
      <c r="Q53" s="59">
        <f t="shared" ref="Q53:Q71" si="13">+C53-15018.5</f>
        <v>39537.269399999997</v>
      </c>
      <c r="R53" s="28">
        <f t="shared" si="7"/>
        <v>1.1310652523327207E-7</v>
      </c>
      <c r="S53" s="27">
        <v>1</v>
      </c>
      <c r="T53" s="28">
        <f t="shared" si="8"/>
        <v>1.1310652523327207E-7</v>
      </c>
    </row>
    <row r="54" spans="1:20" s="25" customFormat="1" ht="12.95" customHeight="1" x14ac:dyDescent="0.2">
      <c r="A54" s="60" t="s">
        <v>53</v>
      </c>
      <c r="B54" s="8" t="s">
        <v>31</v>
      </c>
      <c r="C54" s="7">
        <v>54564.364200000004</v>
      </c>
      <c r="D54" s="7"/>
      <c r="E54" s="25">
        <f t="shared" si="10"/>
        <v>9074.9606350872618</v>
      </c>
      <c r="F54" s="25">
        <f t="shared" si="11"/>
        <v>9075</v>
      </c>
      <c r="G54" s="25">
        <f t="shared" si="12"/>
        <v>-1.4400000000023283E-2</v>
      </c>
      <c r="J54" s="25">
        <f>+G54</f>
        <v>-1.4400000000023283E-2</v>
      </c>
      <c r="P54" s="34">
        <f t="shared" si="6"/>
        <v>-1.3116451128142135E-2</v>
      </c>
      <c r="Q54" s="59">
        <f t="shared" si="13"/>
        <v>39545.864200000004</v>
      </c>
      <c r="R54" s="28">
        <f t="shared" si="7"/>
        <v>1.6474977065073673E-6</v>
      </c>
      <c r="S54" s="27">
        <v>1</v>
      </c>
      <c r="T54" s="28">
        <f t="shared" si="8"/>
        <v>1.6474977065073673E-6</v>
      </c>
    </row>
    <row r="55" spans="1:20" s="25" customFormat="1" ht="12.95" customHeight="1" x14ac:dyDescent="0.2">
      <c r="A55" s="7" t="s">
        <v>55</v>
      </c>
      <c r="B55" s="8" t="s">
        <v>31</v>
      </c>
      <c r="C55" s="7">
        <v>54881.883399999999</v>
      </c>
      <c r="D55" s="7">
        <v>6.9999999999999999E-4</v>
      </c>
      <c r="E55" s="25">
        <f t="shared" si="10"/>
        <v>9942.9547740891303</v>
      </c>
      <c r="F55" s="25">
        <f t="shared" si="11"/>
        <v>9943</v>
      </c>
      <c r="G55" s="25">
        <f t="shared" si="12"/>
        <v>-1.654400000552414E-2</v>
      </c>
      <c r="K55" s="25">
        <f>+G55</f>
        <v>-1.654400000552414E-2</v>
      </c>
      <c r="P55" s="34">
        <f t="shared" si="6"/>
        <v>-1.5717340134501989E-2</v>
      </c>
      <c r="Q55" s="59">
        <f t="shared" si="13"/>
        <v>39863.383399999999</v>
      </c>
      <c r="R55" s="28">
        <f t="shared" si="7"/>
        <v>6.8336654235835874E-7</v>
      </c>
      <c r="S55" s="27">
        <v>1</v>
      </c>
      <c r="T55" s="28">
        <f t="shared" si="8"/>
        <v>6.8336654235835874E-7</v>
      </c>
    </row>
    <row r="56" spans="1:20" s="25" customFormat="1" ht="12.95" customHeight="1" x14ac:dyDescent="0.2">
      <c r="A56" s="7" t="s">
        <v>55</v>
      </c>
      <c r="B56" s="8" t="s">
        <v>31</v>
      </c>
      <c r="C56" s="7">
        <v>54996.381399999998</v>
      </c>
      <c r="D56" s="7">
        <v>5.9999999999999995E-4</v>
      </c>
      <c r="E56" s="25">
        <f t="shared" si="10"/>
        <v>10255.95503652188</v>
      </c>
      <c r="F56" s="25">
        <f t="shared" si="11"/>
        <v>10256</v>
      </c>
      <c r="G56" s="25">
        <f t="shared" si="12"/>
        <v>-1.6448000002128538E-2</v>
      </c>
      <c r="K56" s="25">
        <f>+G56</f>
        <v>-1.6448000002128538E-2</v>
      </c>
      <c r="P56" s="34">
        <f t="shared" si="6"/>
        <v>-1.6695408284550552E-2</v>
      </c>
      <c r="Q56" s="59">
        <f t="shared" si="13"/>
        <v>39977.881399999998</v>
      </c>
      <c r="R56" s="28">
        <f t="shared" si="7"/>
        <v>6.1210858211010987E-8</v>
      </c>
      <c r="S56" s="27">
        <v>1</v>
      </c>
      <c r="T56" s="28">
        <f t="shared" si="8"/>
        <v>6.1210858211010987E-8</v>
      </c>
    </row>
    <row r="57" spans="1:20" s="25" customFormat="1" ht="12.95" customHeight="1" x14ac:dyDescent="0.2">
      <c r="A57" s="7" t="s">
        <v>58</v>
      </c>
      <c r="B57" s="8" t="s">
        <v>31</v>
      </c>
      <c r="C57" s="7">
        <v>55290.856899999999</v>
      </c>
      <c r="D57" s="7">
        <v>6.9999999999999999E-4</v>
      </c>
      <c r="E57" s="25">
        <f t="shared" si="10"/>
        <v>11060.955200542352</v>
      </c>
      <c r="F57" s="25">
        <f t="shared" si="11"/>
        <v>11061</v>
      </c>
      <c r="G57" s="25">
        <f t="shared" si="12"/>
        <v>-1.6388000003644265E-2</v>
      </c>
      <c r="K57" s="25">
        <f>+G57</f>
        <v>-1.6388000003644265E-2</v>
      </c>
      <c r="O57" s="25">
        <f t="shared" ref="O57:O71" ca="1" si="14">+C$11+C$12*$F57</f>
        <v>-5.6570742298303472E-3</v>
      </c>
      <c r="P57" s="34">
        <f t="shared" si="6"/>
        <v>-1.9308737144403825E-2</v>
      </c>
      <c r="Q57" s="59">
        <f t="shared" si="13"/>
        <v>40272.356899999999</v>
      </c>
      <c r="R57" s="28">
        <f t="shared" si="7"/>
        <v>8.5307054454123294E-6</v>
      </c>
      <c r="S57" s="27">
        <v>1</v>
      </c>
      <c r="T57" s="28">
        <f t="shared" si="8"/>
        <v>8.5307054454123294E-6</v>
      </c>
    </row>
    <row r="58" spans="1:20" s="25" customFormat="1" ht="12.95" customHeight="1" x14ac:dyDescent="0.2">
      <c r="A58" s="7" t="s">
        <v>60</v>
      </c>
      <c r="B58" s="8" t="s">
        <v>31</v>
      </c>
      <c r="C58" s="7">
        <v>55617.883099999999</v>
      </c>
      <c r="D58" s="7">
        <v>2.9999999999999997E-4</v>
      </c>
      <c r="E58" s="25">
        <f t="shared" si="10"/>
        <v>11954.938382976854</v>
      </c>
      <c r="F58" s="25">
        <f t="shared" si="11"/>
        <v>11955</v>
      </c>
      <c r="G58" s="25">
        <f t="shared" si="12"/>
        <v>-2.2540000005392358E-2</v>
      </c>
      <c r="K58" s="25">
        <f>+G58</f>
        <v>-2.2540000005392358E-2</v>
      </c>
      <c r="O58" s="25">
        <f t="shared" ca="1" si="14"/>
        <v>-1.1254348645368478E-2</v>
      </c>
      <c r="P58" s="34">
        <f t="shared" si="6"/>
        <v>-2.2376133836952326E-2</v>
      </c>
      <c r="Q58" s="59">
        <f t="shared" si="13"/>
        <v>40599.383099999999</v>
      </c>
      <c r="R58" s="28">
        <f t="shared" si="7"/>
        <v>2.6852121159216737E-8</v>
      </c>
      <c r="S58" s="27">
        <v>1</v>
      </c>
      <c r="T58" s="28">
        <f t="shared" si="8"/>
        <v>2.6852121159216737E-8</v>
      </c>
    </row>
    <row r="59" spans="1:20" s="25" customFormat="1" ht="12.95" customHeight="1" x14ac:dyDescent="0.2">
      <c r="A59" s="7" t="s">
        <v>61</v>
      </c>
      <c r="B59" s="8" t="s">
        <v>31</v>
      </c>
      <c r="C59" s="7">
        <v>55669.4614</v>
      </c>
      <c r="D59" s="7">
        <v>1.6000000000000001E-3</v>
      </c>
      <c r="E59" s="25">
        <f t="shared" si="10"/>
        <v>12095.936666229272</v>
      </c>
      <c r="F59" s="25">
        <f t="shared" si="11"/>
        <v>12096</v>
      </c>
      <c r="G59" s="25">
        <f t="shared" si="12"/>
        <v>-2.3167999999714084E-2</v>
      </c>
      <c r="J59" s="25">
        <f>+G59</f>
        <v>-2.3167999999714084E-2</v>
      </c>
      <c r="O59" s="25">
        <f t="shared" ca="1" si="14"/>
        <v>-1.2137140247819131E-2</v>
      </c>
      <c r="P59" s="34">
        <f t="shared" si="6"/>
        <v>-2.2875784444436695E-2</v>
      </c>
      <c r="Q59" s="59">
        <f t="shared" si="13"/>
        <v>40650.9614</v>
      </c>
      <c r="R59" s="28">
        <f t="shared" si="7"/>
        <v>8.5389930746072493E-8</v>
      </c>
      <c r="S59" s="27">
        <v>1</v>
      </c>
      <c r="T59" s="28">
        <f t="shared" si="8"/>
        <v>8.5389930746072493E-8</v>
      </c>
    </row>
    <row r="60" spans="1:20" s="25" customFormat="1" ht="12.95" customHeight="1" x14ac:dyDescent="0.2">
      <c r="A60" s="7" t="s">
        <v>64</v>
      </c>
      <c r="B60" s="8" t="s">
        <v>32</v>
      </c>
      <c r="C60" s="7">
        <v>55968.873899999999</v>
      </c>
      <c r="D60" s="7">
        <v>5.9999999999999995E-4</v>
      </c>
      <c r="E60" s="25">
        <f t="shared" si="10"/>
        <v>12914.432981236048</v>
      </c>
      <c r="F60" s="25">
        <f t="shared" si="11"/>
        <v>12914.5</v>
      </c>
      <c r="G60" s="25">
        <f t="shared" si="12"/>
        <v>-2.4516000004950911E-2</v>
      </c>
      <c r="K60" s="25">
        <f t="shared" ref="K60:K71" si="15">+G60</f>
        <v>-2.4516000004950911E-2</v>
      </c>
      <c r="O60" s="25">
        <f t="shared" ca="1" si="14"/>
        <v>-1.7261714195378378E-2</v>
      </c>
      <c r="P60" s="34">
        <f t="shared" si="6"/>
        <v>-2.5861624592570531E-2</v>
      </c>
      <c r="Q60" s="59">
        <f t="shared" si="13"/>
        <v>40950.373899999999</v>
      </c>
      <c r="R60" s="28">
        <f t="shared" si="7"/>
        <v>1.8107055308064717E-6</v>
      </c>
      <c r="S60" s="27">
        <v>1</v>
      </c>
      <c r="T60" s="28">
        <f t="shared" si="8"/>
        <v>1.8107055308064717E-6</v>
      </c>
    </row>
    <row r="61" spans="1:20" s="25" customFormat="1" ht="12.95" customHeight="1" x14ac:dyDescent="0.2">
      <c r="A61" s="66" t="s">
        <v>65</v>
      </c>
      <c r="B61" s="67" t="s">
        <v>32</v>
      </c>
      <c r="C61" s="68">
        <v>56007.464540000001</v>
      </c>
      <c r="D61" s="68">
        <v>5.9999999999999995E-4</v>
      </c>
      <c r="E61" s="25">
        <f t="shared" si="10"/>
        <v>13019.927229584915</v>
      </c>
      <c r="F61" s="25">
        <f t="shared" si="11"/>
        <v>13020</v>
      </c>
      <c r="G61" s="25">
        <f t="shared" si="12"/>
        <v>-2.6620000004186295E-2</v>
      </c>
      <c r="K61" s="25">
        <f t="shared" si="15"/>
        <v>-2.6620000004186295E-2</v>
      </c>
      <c r="O61" s="25">
        <f t="shared" ca="1" si="14"/>
        <v>-1.7922242663878679E-2</v>
      </c>
      <c r="P61" s="34">
        <f t="shared" si="6"/>
        <v>-2.6257081009898015E-2</v>
      </c>
      <c r="Q61" s="59">
        <f t="shared" si="13"/>
        <v>40988.964540000001</v>
      </c>
      <c r="R61" s="28">
        <f t="shared" si="7"/>
        <v>1.3171019641521693E-7</v>
      </c>
      <c r="S61" s="27">
        <v>1</v>
      </c>
      <c r="T61" s="28">
        <f t="shared" si="8"/>
        <v>1.3171019641521693E-7</v>
      </c>
    </row>
    <row r="62" spans="1:20" s="25" customFormat="1" ht="12.95" customHeight="1" x14ac:dyDescent="0.2">
      <c r="A62" s="68" t="s">
        <v>64</v>
      </c>
      <c r="B62" s="67" t="s">
        <v>32</v>
      </c>
      <c r="C62" s="68">
        <v>56045.691299999999</v>
      </c>
      <c r="D62" s="68">
        <v>2.0000000000000001E-4</v>
      </c>
      <c r="E62" s="25">
        <f t="shared" si="10"/>
        <v>13124.426748458198</v>
      </c>
      <c r="F62" s="25">
        <f t="shared" si="11"/>
        <v>13124.5</v>
      </c>
      <c r="G62" s="25">
        <f t="shared" si="12"/>
        <v>-2.6796000005560927E-2</v>
      </c>
      <c r="K62" s="25">
        <f t="shared" si="15"/>
        <v>-2.6796000005560927E-2</v>
      </c>
      <c r="O62" s="25">
        <f t="shared" ca="1" si="14"/>
        <v>-1.857651019902827E-2</v>
      </c>
      <c r="P62" s="34">
        <f t="shared" si="6"/>
        <v>-2.6651174962583325E-2</v>
      </c>
      <c r="Q62" s="59">
        <f t="shared" si="13"/>
        <v>41027.191299999999</v>
      </c>
      <c r="R62" s="28">
        <f t="shared" si="7"/>
        <v>2.0974293073464223E-8</v>
      </c>
      <c r="S62" s="27">
        <v>1</v>
      </c>
      <c r="T62" s="28">
        <f t="shared" si="8"/>
        <v>2.0974293073464223E-8</v>
      </c>
    </row>
    <row r="63" spans="1:20" s="25" customFormat="1" ht="12.95" customHeight="1" x14ac:dyDescent="0.2">
      <c r="A63" s="69" t="s">
        <v>231</v>
      </c>
      <c r="B63" s="70" t="s">
        <v>31</v>
      </c>
      <c r="C63" s="71">
        <v>57024.582600000002</v>
      </c>
      <c r="D63" s="71">
        <v>1E-4</v>
      </c>
      <c r="E63" s="25">
        <f t="shared" si="10"/>
        <v>15800.396929536804</v>
      </c>
      <c r="F63" s="25">
        <f t="shared" si="11"/>
        <v>15800.5</v>
      </c>
      <c r="G63" s="25">
        <f t="shared" si="12"/>
        <v>-3.7704000002122484E-2</v>
      </c>
      <c r="K63" s="25">
        <f t="shared" si="15"/>
        <v>-3.7704000002122484E-2</v>
      </c>
      <c r="O63" s="25">
        <f t="shared" ca="1" si="14"/>
        <v>-3.5330767845538416E-2</v>
      </c>
      <c r="P63" s="34">
        <f t="shared" si="6"/>
        <v>-3.755196724095218E-2</v>
      </c>
      <c r="Q63" s="59">
        <f t="shared" si="13"/>
        <v>42006.082600000002</v>
      </c>
      <c r="R63" s="28">
        <f t="shared" si="7"/>
        <v>2.3113960469066615E-8</v>
      </c>
      <c r="S63" s="27">
        <v>1</v>
      </c>
      <c r="T63" s="28">
        <f t="shared" si="8"/>
        <v>2.3113960469066615E-8</v>
      </c>
    </row>
    <row r="64" spans="1:20" s="25" customFormat="1" ht="12.95" customHeight="1" x14ac:dyDescent="0.2">
      <c r="A64" s="72" t="s">
        <v>1</v>
      </c>
      <c r="B64" s="73" t="s">
        <v>31</v>
      </c>
      <c r="C64" s="74">
        <v>57132.495199999998</v>
      </c>
      <c r="D64" s="74">
        <v>1.1999999999999999E-3</v>
      </c>
      <c r="E64" s="25">
        <f t="shared" si="10"/>
        <v>16095.394851944176</v>
      </c>
      <c r="F64" s="25">
        <f t="shared" si="11"/>
        <v>16095.5</v>
      </c>
      <c r="G64" s="25">
        <f t="shared" si="12"/>
        <v>-3.8464000004751142E-2</v>
      </c>
      <c r="K64" s="25">
        <f t="shared" si="15"/>
        <v>-3.8464000004751142E-2</v>
      </c>
      <c r="O64" s="25">
        <f t="shared" ca="1" si="14"/>
        <v>-3.7177743183998982E-2</v>
      </c>
      <c r="P64" s="34">
        <f t="shared" si="6"/>
        <v>-3.884895163334718E-2</v>
      </c>
      <c r="Q64" s="59">
        <f t="shared" si="13"/>
        <v>42113.995199999998</v>
      </c>
      <c r="R64" s="28">
        <f t="shared" si="7"/>
        <v>1.4818775635874179E-7</v>
      </c>
      <c r="S64" s="27">
        <v>1</v>
      </c>
      <c r="T64" s="28">
        <f t="shared" si="8"/>
        <v>1.4818775635874179E-7</v>
      </c>
    </row>
    <row r="65" spans="1:20" s="25" customFormat="1" ht="12.95" customHeight="1" x14ac:dyDescent="0.2">
      <c r="A65" s="72" t="s">
        <v>1</v>
      </c>
      <c r="B65" s="73" t="s">
        <v>31</v>
      </c>
      <c r="C65" s="74">
        <v>57489.520799999998</v>
      </c>
      <c r="D65" s="74">
        <v>8.9999999999999998E-4</v>
      </c>
      <c r="E65" s="25">
        <f t="shared" si="10"/>
        <v>17071.386629051296</v>
      </c>
      <c r="F65" s="25">
        <f t="shared" si="11"/>
        <v>17071.5</v>
      </c>
      <c r="G65" s="25">
        <f t="shared" si="12"/>
        <v>-4.147200000443263E-2</v>
      </c>
      <c r="K65" s="25">
        <f t="shared" si="15"/>
        <v>-4.147200000443263E-2</v>
      </c>
      <c r="O65" s="25">
        <f t="shared" ca="1" si="14"/>
        <v>-4.3288414134295655E-2</v>
      </c>
      <c r="P65" s="34">
        <f t="shared" si="6"/>
        <v>-4.3274862600150378E-2</v>
      </c>
      <c r="Q65" s="59">
        <f t="shared" si="13"/>
        <v>42471.020799999998</v>
      </c>
      <c r="R65" s="28">
        <f t="shared" si="7"/>
        <v>3.2503135390381369E-6</v>
      </c>
      <c r="S65" s="27">
        <v>1</v>
      </c>
      <c r="T65" s="28">
        <f t="shared" si="8"/>
        <v>3.2503135390381369E-6</v>
      </c>
    </row>
    <row r="66" spans="1:20" s="25" customFormat="1" ht="12.95" customHeight="1" x14ac:dyDescent="0.2">
      <c r="A66" s="72" t="s">
        <v>1</v>
      </c>
      <c r="B66" s="73" t="s">
        <v>31</v>
      </c>
      <c r="C66" s="74">
        <v>57499.398200000003</v>
      </c>
      <c r="D66" s="74">
        <v>1.6999999999999999E-3</v>
      </c>
      <c r="E66" s="25">
        <f t="shared" si="10"/>
        <v>17098.388225517214</v>
      </c>
      <c r="F66" s="25">
        <f t="shared" si="11"/>
        <v>17098.5</v>
      </c>
      <c r="G66" s="25">
        <f t="shared" si="12"/>
        <v>-4.0887999995902646E-2</v>
      </c>
      <c r="K66" s="25">
        <f t="shared" si="15"/>
        <v>-4.0887999995902646E-2</v>
      </c>
      <c r="O66" s="25">
        <f t="shared" ca="1" si="14"/>
        <v>-4.3457459334764928E-2</v>
      </c>
      <c r="P66" s="34">
        <f t="shared" si="6"/>
        <v>-4.3400245052275375E-2</v>
      </c>
      <c r="Q66" s="59">
        <f t="shared" si="13"/>
        <v>42480.898200000003</v>
      </c>
      <c r="R66" s="28">
        <f t="shared" si="7"/>
        <v>6.3113752232692174E-6</v>
      </c>
      <c r="S66" s="27">
        <v>1</v>
      </c>
      <c r="T66" s="28">
        <f t="shared" si="8"/>
        <v>6.3113752232692174E-6</v>
      </c>
    </row>
    <row r="67" spans="1:20" s="25" customFormat="1" ht="12.95" customHeight="1" x14ac:dyDescent="0.2">
      <c r="A67" s="72" t="s">
        <v>1</v>
      </c>
      <c r="B67" s="73" t="s">
        <v>31</v>
      </c>
      <c r="C67" s="74">
        <v>57499.580600000001</v>
      </c>
      <c r="D67" s="74">
        <v>8.9999999999999998E-4</v>
      </c>
      <c r="E67" s="25">
        <f t="shared" si="10"/>
        <v>17098.886847745263</v>
      </c>
      <c r="F67" s="25">
        <f t="shared" si="11"/>
        <v>17099</v>
      </c>
      <c r="G67" s="25">
        <f t="shared" si="12"/>
        <v>-4.1391999999177642E-2</v>
      </c>
      <c r="K67" s="25">
        <f t="shared" si="15"/>
        <v>-4.1391999999177642E-2</v>
      </c>
      <c r="O67" s="25">
        <f t="shared" ca="1" si="14"/>
        <v>-4.3460589801440283E-2</v>
      </c>
      <c r="P67" s="34">
        <f t="shared" si="6"/>
        <v>-4.3402568444485208E-2</v>
      </c>
      <c r="Q67" s="59">
        <f t="shared" si="13"/>
        <v>42481.080600000001</v>
      </c>
      <c r="R67" s="28">
        <f t="shared" si="7"/>
        <v>4.0423854732664822E-6</v>
      </c>
      <c r="S67" s="27">
        <v>1</v>
      </c>
      <c r="T67" s="28">
        <f t="shared" si="8"/>
        <v>4.0423854732664822E-6</v>
      </c>
    </row>
    <row r="68" spans="1:20" s="25" customFormat="1" ht="12.95" customHeight="1" x14ac:dyDescent="0.2">
      <c r="A68" s="72" t="s">
        <v>1</v>
      </c>
      <c r="B68" s="73" t="s">
        <v>31</v>
      </c>
      <c r="C68" s="74">
        <v>57514.395199999999</v>
      </c>
      <c r="D68" s="74">
        <v>8.9999999999999998E-4</v>
      </c>
      <c r="E68" s="25">
        <f t="shared" si="10"/>
        <v>17139.385141932369</v>
      </c>
      <c r="F68" s="25">
        <f t="shared" si="11"/>
        <v>17139.5</v>
      </c>
      <c r="G68" s="25">
        <f t="shared" si="12"/>
        <v>-4.2016000006697141E-2</v>
      </c>
      <c r="K68" s="25">
        <f t="shared" si="15"/>
        <v>-4.2016000006697141E-2</v>
      </c>
      <c r="O68" s="25">
        <f t="shared" ca="1" si="14"/>
        <v>-4.3714157602144199E-2</v>
      </c>
      <c r="P68" s="34">
        <f t="shared" si="6"/>
        <v>-4.3590943748869161E-2</v>
      </c>
      <c r="Q68" s="59">
        <f t="shared" si="13"/>
        <v>42495.895199999999</v>
      </c>
      <c r="R68" s="28">
        <f t="shared" si="7"/>
        <v>2.4804477910068079E-6</v>
      </c>
      <c r="S68" s="27">
        <v>1</v>
      </c>
      <c r="T68" s="28">
        <f t="shared" si="8"/>
        <v>2.4804477910068079E-6</v>
      </c>
    </row>
    <row r="69" spans="1:20" s="25" customFormat="1" ht="12.95" customHeight="1" x14ac:dyDescent="0.2">
      <c r="A69" s="72" t="s">
        <v>1</v>
      </c>
      <c r="B69" s="73" t="s">
        <v>31</v>
      </c>
      <c r="C69" s="74">
        <v>57514.577100000002</v>
      </c>
      <c r="D69" s="74">
        <v>2.7000000000000001E-3</v>
      </c>
      <c r="E69" s="25">
        <f t="shared" si="10"/>
        <v>17139.882397323185</v>
      </c>
      <c r="F69" s="25">
        <f t="shared" si="11"/>
        <v>17140</v>
      </c>
      <c r="G69" s="25">
        <f t="shared" si="12"/>
        <v>-4.3019999997341074E-2</v>
      </c>
      <c r="K69" s="25">
        <f t="shared" si="15"/>
        <v>-4.3019999997341074E-2</v>
      </c>
      <c r="O69" s="25">
        <f t="shared" ca="1" si="14"/>
        <v>-4.3717288068819554E-2</v>
      </c>
      <c r="P69" s="34">
        <f t="shared" si="6"/>
        <v>-4.3593271598742878E-2</v>
      </c>
      <c r="Q69" s="59">
        <f t="shared" si="13"/>
        <v>42496.077100000002</v>
      </c>
      <c r="R69" s="28">
        <f t="shared" si="7"/>
        <v>3.2864032897378834E-7</v>
      </c>
      <c r="S69" s="27">
        <v>1</v>
      </c>
      <c r="T69" s="28">
        <f t="shared" si="8"/>
        <v>3.2864032897378834E-7</v>
      </c>
    </row>
    <row r="70" spans="1:20" s="25" customFormat="1" ht="12.95" customHeight="1" x14ac:dyDescent="0.2">
      <c r="A70" s="75" t="s">
        <v>230</v>
      </c>
      <c r="B70" s="67"/>
      <c r="C70" s="68">
        <v>57723.996400000004</v>
      </c>
      <c r="D70" s="68">
        <v>5.9999999999999995E-4</v>
      </c>
      <c r="E70" s="25">
        <f t="shared" si="10"/>
        <v>17712.366596684602</v>
      </c>
      <c r="F70" s="25">
        <f t="shared" si="11"/>
        <v>17712.5</v>
      </c>
      <c r="G70" s="25">
        <f t="shared" si="12"/>
        <v>-4.8799999996845145E-2</v>
      </c>
      <c r="K70" s="25">
        <f t="shared" si="15"/>
        <v>-4.8799999996845145E-2</v>
      </c>
      <c r="O70" s="25">
        <f t="shared" ca="1" si="14"/>
        <v>-4.7301672412103202E-2</v>
      </c>
      <c r="P70" s="34">
        <f t="shared" si="6"/>
        <v>-4.6294325636048871E-2</v>
      </c>
      <c r="Q70" s="59">
        <f t="shared" si="13"/>
        <v>42705.496400000004</v>
      </c>
      <c r="R70" s="28">
        <f t="shared" si="7"/>
        <v>6.2784040023518175E-6</v>
      </c>
      <c r="S70" s="27">
        <v>1</v>
      </c>
      <c r="T70" s="28">
        <f t="shared" si="8"/>
        <v>6.2784040023518175E-6</v>
      </c>
    </row>
    <row r="71" spans="1:20" s="25" customFormat="1" ht="12.95" customHeight="1" x14ac:dyDescent="0.2">
      <c r="A71" s="64" t="s">
        <v>232</v>
      </c>
      <c r="B71" s="8"/>
      <c r="C71" s="7">
        <v>58538.820599999999</v>
      </c>
      <c r="D71" s="7">
        <v>4.0000000000000002E-4</v>
      </c>
      <c r="E71" s="25">
        <f t="shared" si="10"/>
        <v>19939.830730875205</v>
      </c>
      <c r="F71" s="25">
        <f t="shared" si="11"/>
        <v>19940</v>
      </c>
      <c r="G71" s="25">
        <f t="shared" si="12"/>
        <v>-6.1920000000100117E-2</v>
      </c>
      <c r="K71" s="25">
        <f t="shared" si="15"/>
        <v>-6.1920000000100117E-2</v>
      </c>
      <c r="O71" s="25">
        <f t="shared" ca="1" si="14"/>
        <v>-6.124790145081821E-2</v>
      </c>
      <c r="P71" s="34">
        <f t="shared" si="6"/>
        <v>-5.7481775419640328E-2</v>
      </c>
      <c r="Q71" s="59">
        <f t="shared" si="13"/>
        <v>43520.320599999999</v>
      </c>
      <c r="R71" s="28">
        <f t="shared" si="7"/>
        <v>1.9697837426597469E-5</v>
      </c>
      <c r="S71" s="27">
        <v>1</v>
      </c>
      <c r="T71" s="28">
        <f t="shared" si="8"/>
        <v>1.9697837426597469E-5</v>
      </c>
    </row>
    <row r="72" spans="1:20" s="25" customFormat="1" ht="12.95" customHeight="1" x14ac:dyDescent="0.2">
      <c r="A72" s="76" t="s">
        <v>0</v>
      </c>
      <c r="B72" s="85" t="s">
        <v>31</v>
      </c>
      <c r="C72" s="77">
        <v>57836.479899999998</v>
      </c>
      <c r="D72" s="77">
        <v>6.9999999999999999E-4</v>
      </c>
      <c r="E72" s="25">
        <f>+(C72-C$7)/C$8</f>
        <v>18019.859871845329</v>
      </c>
      <c r="F72" s="25">
        <f t="shared" si="11"/>
        <v>18020</v>
      </c>
      <c r="G72" s="25">
        <f>+C72-(C$7+F72*C$8)</f>
        <v>-5.1260000000183936E-2</v>
      </c>
      <c r="K72" s="25">
        <f>+G72</f>
        <v>-5.1260000000183936E-2</v>
      </c>
      <c r="O72" s="25">
        <f ca="1">+C$11+C$12*$F72</f>
        <v>-4.9226909417447701E-2</v>
      </c>
      <c r="P72" s="34">
        <f>+D$11+D$12*F72+D$13*F72^2</f>
        <v>-4.7774530700661871E-2</v>
      </c>
      <c r="Q72" s="59">
        <f>+C72-15018.5</f>
        <v>42817.979899999998</v>
      </c>
      <c r="R72" s="28">
        <f>+(P72-G72)^2</f>
        <v>1.2148496237910833E-5</v>
      </c>
      <c r="S72" s="27">
        <v>1</v>
      </c>
      <c r="T72" s="28">
        <f>+S72*R72</f>
        <v>1.2148496237910833E-5</v>
      </c>
    </row>
    <row r="73" spans="1:20" s="25" customFormat="1" ht="12.95" customHeight="1" x14ac:dyDescent="0.2">
      <c r="A73" s="78" t="s">
        <v>238</v>
      </c>
      <c r="B73" s="79" t="s">
        <v>31</v>
      </c>
      <c r="C73" s="80">
        <v>57845.442729999777</v>
      </c>
      <c r="D73" s="80">
        <v>5.9999999999999995E-4</v>
      </c>
      <c r="E73" s="25">
        <f>+(C73-C$7)/C$8</f>
        <v>18044.361331626904</v>
      </c>
      <c r="F73" s="25">
        <f t="shared" si="11"/>
        <v>18044.5</v>
      </c>
      <c r="G73" s="25">
        <f>+C73-(C$7+F73*C$8)</f>
        <v>-5.0726000226859469E-2</v>
      </c>
      <c r="K73" s="25">
        <f>+G73</f>
        <v>-5.0726000226859469E-2</v>
      </c>
      <c r="O73" s="25">
        <f ca="1">+C$11+C$12*$F73</f>
        <v>-4.9380302284540184E-2</v>
      </c>
      <c r="P73" s="34">
        <f>+D$11+D$12*F73+D$13*F73^2</f>
        <v>-4.7893350095357175E-2</v>
      </c>
      <c r="Q73" s="59">
        <f>+C73-15018.5</f>
        <v>42826.942729999777</v>
      </c>
      <c r="R73" s="28">
        <f>+(P73-G73)^2</f>
        <v>8.0239067674999646E-6</v>
      </c>
      <c r="S73" s="27">
        <v>1</v>
      </c>
      <c r="T73" s="28">
        <f>+S73*R73</f>
        <v>8.0239067674999646E-6</v>
      </c>
    </row>
    <row r="74" spans="1:20" s="25" customFormat="1" ht="12.95" customHeight="1" x14ac:dyDescent="0.2">
      <c r="A74" s="81" t="s">
        <v>239</v>
      </c>
      <c r="B74" s="82" t="s">
        <v>32</v>
      </c>
      <c r="C74" s="87">
        <v>59726.397499999963</v>
      </c>
      <c r="D74" s="7"/>
      <c r="E74" s="25">
        <f t="shared" ref="E74:E76" si="16">+(C74-C$7)/C$8</f>
        <v>23186.279414337467</v>
      </c>
      <c r="F74" s="25">
        <f t="shared" ref="F74:F76" si="17">ROUND(2*E74,0)/2</f>
        <v>23186.5</v>
      </c>
      <c r="G74" s="25">
        <f t="shared" ref="G74:G76" si="18">+C74-(C$7+F74*C$8)</f>
        <v>-8.0692000039562117E-2</v>
      </c>
      <c r="K74" s="25">
        <f t="shared" ref="K74:K76" si="19">+G74</f>
        <v>-8.0692000039562117E-2</v>
      </c>
      <c r="O74" s="25">
        <f t="shared" ref="O74:O76" ca="1" si="20">+C$11+C$12*$F74</f>
        <v>-8.1574021573910555E-2</v>
      </c>
      <c r="P74" s="34">
        <f t="shared" ref="P74:P76" si="21">+D$11+D$12*F74+D$13*F74^2</f>
        <v>-7.5719237970781436E-2</v>
      </c>
      <c r="Q74" s="59">
        <f t="shared" ref="Q74:Q76" si="22">+C74-15018.5</f>
        <v>44707.897499999963</v>
      </c>
      <c r="R74" s="28">
        <f t="shared" ref="R74:R76" si="23">+(P74-G74)^2</f>
        <v>2.472836259270392E-5</v>
      </c>
      <c r="S74" s="27">
        <v>1</v>
      </c>
      <c r="T74" s="28">
        <f t="shared" ref="T74:T76" si="24">+S74*R74</f>
        <v>2.472836259270392E-5</v>
      </c>
    </row>
    <row r="75" spans="1:20" s="25" customFormat="1" ht="12.95" customHeight="1" x14ac:dyDescent="0.2">
      <c r="A75" s="81" t="s">
        <v>239</v>
      </c>
      <c r="B75" s="82" t="s">
        <v>31</v>
      </c>
      <c r="C75" s="87">
        <v>59740.476699999999</v>
      </c>
      <c r="D75" s="7"/>
      <c r="E75" s="25">
        <f t="shared" si="16"/>
        <v>23224.767364300387</v>
      </c>
      <c r="F75" s="25">
        <f t="shared" si="17"/>
        <v>23225</v>
      </c>
      <c r="G75" s="25">
        <f t="shared" si="18"/>
        <v>-8.510000000387663E-2</v>
      </c>
      <c r="K75" s="25">
        <f t="shared" si="19"/>
        <v>-8.510000000387663E-2</v>
      </c>
      <c r="O75" s="25">
        <f t="shared" ca="1" si="20"/>
        <v>-8.1815067507913036E-2</v>
      </c>
      <c r="P75" s="34">
        <f t="shared" si="21"/>
        <v>-7.5949265205361258E-2</v>
      </c>
      <c r="Q75" s="59">
        <f t="shared" si="22"/>
        <v>44721.976699999999</v>
      </c>
      <c r="R75" s="28">
        <f t="shared" si="23"/>
        <v>8.3735947352760174E-5</v>
      </c>
      <c r="S75" s="27">
        <v>1</v>
      </c>
      <c r="T75" s="28">
        <f t="shared" si="24"/>
        <v>8.3735947352760174E-5</v>
      </c>
    </row>
    <row r="76" spans="1:20" s="25" customFormat="1" ht="12.95" customHeight="1" x14ac:dyDescent="0.2">
      <c r="A76" s="81" t="s">
        <v>239</v>
      </c>
      <c r="B76" s="82" t="s">
        <v>32</v>
      </c>
      <c r="C76" s="87">
        <v>59742.492500000168</v>
      </c>
      <c r="D76" s="7"/>
      <c r="E76" s="25">
        <f t="shared" si="16"/>
        <v>23230.277905349707</v>
      </c>
      <c r="F76" s="25">
        <f t="shared" si="17"/>
        <v>23230.5</v>
      </c>
      <c r="G76" s="25">
        <f t="shared" si="18"/>
        <v>-8.1243999833532143E-2</v>
      </c>
      <c r="K76" s="25">
        <f t="shared" si="19"/>
        <v>-8.1243999833532143E-2</v>
      </c>
      <c r="O76" s="25">
        <f t="shared" ca="1" si="20"/>
        <v>-8.184950264134197E-2</v>
      </c>
      <c r="P76" s="34">
        <f t="shared" si="21"/>
        <v>-7.5982152549961976E-2</v>
      </c>
      <c r="Q76" s="59">
        <f t="shared" si="22"/>
        <v>44723.992500000168</v>
      </c>
      <c r="R76" s="28">
        <f t="shared" si="23"/>
        <v>2.768703683561475E-5</v>
      </c>
      <c r="S76" s="27">
        <v>1</v>
      </c>
      <c r="T76" s="28">
        <f t="shared" si="24"/>
        <v>2.768703683561475E-5</v>
      </c>
    </row>
    <row r="77" spans="1:20" s="25" customFormat="1" ht="12.95" customHeight="1" x14ac:dyDescent="0.2">
      <c r="A77" s="81" t="s">
        <v>239</v>
      </c>
      <c r="B77" s="82" t="s">
        <v>31</v>
      </c>
      <c r="C77" s="87">
        <v>59744.50400000019</v>
      </c>
      <c r="D77" s="7"/>
      <c r="E77" s="25">
        <f t="shared" ref="E77" si="25">+(C77-C$7)/C$8</f>
        <v>23235.77669159829</v>
      </c>
      <c r="F77" s="25">
        <f t="shared" ref="F77" si="26">ROUND(2*E77,0)/2</f>
        <v>23236</v>
      </c>
      <c r="G77" s="25">
        <f t="shared" ref="G77" si="27">+C77-(C$7+F77*C$8)</f>
        <v>-8.1687999816494994E-2</v>
      </c>
      <c r="K77" s="25">
        <f t="shared" ref="K77" si="28">+G77</f>
        <v>-8.1687999816494994E-2</v>
      </c>
      <c r="O77" s="25">
        <f t="shared" ref="O77" ca="1" si="29">+C$11+C$12*$F77</f>
        <v>-8.1883937774770904E-2</v>
      </c>
      <c r="P77" s="34">
        <f t="shared" ref="P77" si="30">+D$11+D$12*F77+D$13*F77^2</f>
        <v>-7.6015046472335035E-2</v>
      </c>
      <c r="Q77" s="59">
        <f t="shared" ref="Q77" si="31">+C77-15018.5</f>
        <v>44726.00400000019</v>
      </c>
      <c r="R77" s="28">
        <f t="shared" ref="R77" si="32">+(P77-G77)^2</f>
        <v>3.218239964501566E-5</v>
      </c>
      <c r="S77" s="27">
        <v>1</v>
      </c>
      <c r="T77" s="28">
        <f t="shared" ref="T77" si="33">+S77*R77</f>
        <v>3.218239964501566E-5</v>
      </c>
    </row>
    <row r="78" spans="1:20" s="25" customFormat="1" ht="12.95" customHeight="1" x14ac:dyDescent="0.2">
      <c r="A78" s="24" t="s">
        <v>240</v>
      </c>
      <c r="B78" s="83" t="s">
        <v>32</v>
      </c>
      <c r="C78" s="84">
        <v>59625.803099999997</v>
      </c>
      <c r="D78" s="84">
        <v>2.9999999999999997E-4</v>
      </c>
      <c r="E78" s="25">
        <f t="shared" ref="E78" si="34">+(C78-C$7)/C$8</f>
        <v>22911.287068626149</v>
      </c>
      <c r="F78" s="25">
        <f t="shared" ref="F78" si="35">ROUND(2*E78,0)/2</f>
        <v>22911.5</v>
      </c>
      <c r="G78" s="25">
        <f t="shared" ref="G78" si="36">+C78-(C$7+F78*C$8)</f>
        <v>-7.789200000843266E-2</v>
      </c>
      <c r="K78" s="25">
        <f t="shared" ref="K78" si="37">+G78</f>
        <v>-7.789200000843266E-2</v>
      </c>
      <c r="O78" s="25">
        <f t="shared" ref="O78" ca="1" si="38">+C$11+C$12*$F78</f>
        <v>-7.9852264902464276E-2</v>
      </c>
      <c r="P78" s="34">
        <f t="shared" ref="P78" si="39">+D$11+D$12*F78+D$13*F78^2</f>
        <v>-7.4085559620781213E-2</v>
      </c>
      <c r="Q78" s="59">
        <f t="shared" ref="Q78" si="40">+C78-15018.5</f>
        <v>44607.303099999997</v>
      </c>
      <c r="R78" s="28">
        <f t="shared" ref="R78" si="41">+(P78-G78)^2</f>
        <v>1.4488988424744097E-5</v>
      </c>
      <c r="S78" s="27">
        <v>1</v>
      </c>
      <c r="T78" s="28">
        <f t="shared" ref="T78" si="42">+S78*R78</f>
        <v>1.4488988424744097E-5</v>
      </c>
    </row>
    <row r="79" spans="1:20" s="25" customFormat="1" ht="12.95" customHeight="1" x14ac:dyDescent="0.2">
      <c r="A79" s="60"/>
      <c r="B79" s="8"/>
      <c r="C79" s="7"/>
      <c r="D79" s="7"/>
      <c r="R79" s="28"/>
      <c r="S79" s="27"/>
    </row>
    <row r="80" spans="1:20" s="25" customFormat="1" ht="12.95" customHeight="1" x14ac:dyDescent="0.2">
      <c r="A80" s="60"/>
      <c r="B80" s="8"/>
      <c r="C80" s="7"/>
      <c r="D80" s="7"/>
      <c r="R80" s="28"/>
      <c r="S80" s="27"/>
    </row>
    <row r="81" spans="1:19" s="25" customFormat="1" ht="12.95" customHeight="1" x14ac:dyDescent="0.2">
      <c r="A81" s="60"/>
      <c r="B81" s="8"/>
      <c r="C81" s="7"/>
      <c r="D81" s="7"/>
      <c r="R81" s="28"/>
      <c r="S81" s="27"/>
    </row>
    <row r="82" spans="1:19" s="25" customFormat="1" ht="12.95" customHeight="1" x14ac:dyDescent="0.2">
      <c r="A82" s="60"/>
      <c r="B82" s="8"/>
      <c r="C82" s="7"/>
      <c r="D82" s="7"/>
      <c r="R82" s="28"/>
      <c r="S82" s="27"/>
    </row>
    <row r="83" spans="1:19" s="25" customFormat="1" ht="12.95" customHeight="1" x14ac:dyDescent="0.2">
      <c r="A83" s="60"/>
      <c r="B83" s="8"/>
      <c r="C83" s="7"/>
      <c r="D83" s="7"/>
      <c r="R83" s="28"/>
      <c r="S83" s="27"/>
    </row>
    <row r="84" spans="1:19" s="25" customFormat="1" ht="12.95" customHeight="1" x14ac:dyDescent="0.2">
      <c r="A84" s="60"/>
      <c r="B84" s="8"/>
      <c r="C84" s="7"/>
      <c r="D84" s="7"/>
      <c r="R84" s="28"/>
      <c r="S84" s="27"/>
    </row>
    <row r="85" spans="1:19" s="25" customFormat="1" ht="12.95" customHeight="1" x14ac:dyDescent="0.2">
      <c r="A85" s="60"/>
      <c r="B85" s="8"/>
      <c r="C85" s="7"/>
      <c r="D85" s="7"/>
      <c r="R85" s="28"/>
      <c r="S85" s="27"/>
    </row>
    <row r="86" spans="1:19" s="25" customFormat="1" ht="12.95" customHeight="1" x14ac:dyDescent="0.2">
      <c r="A86" s="60"/>
      <c r="B86" s="8"/>
      <c r="C86" s="7"/>
      <c r="D86" s="7"/>
      <c r="R86" s="28"/>
      <c r="S86" s="27"/>
    </row>
    <row r="87" spans="1:19" s="25" customFormat="1" ht="12.95" customHeight="1" x14ac:dyDescent="0.2">
      <c r="A87" s="60"/>
      <c r="B87" s="8"/>
      <c r="C87" s="7"/>
      <c r="D87" s="7"/>
      <c r="R87" s="28"/>
      <c r="S87" s="27"/>
    </row>
    <row r="88" spans="1:19" s="25" customFormat="1" ht="12.95" customHeight="1" x14ac:dyDescent="0.2">
      <c r="A88" s="60"/>
      <c r="B88" s="8"/>
      <c r="C88" s="7"/>
      <c r="D88" s="7"/>
      <c r="R88" s="28"/>
      <c r="S88" s="27"/>
    </row>
    <row r="89" spans="1:19" s="25" customFormat="1" ht="12.95" customHeight="1" x14ac:dyDescent="0.2">
      <c r="A89" s="60"/>
      <c r="B89" s="8"/>
      <c r="C89" s="7"/>
      <c r="D89" s="7"/>
      <c r="R89" s="28"/>
      <c r="S89" s="27"/>
    </row>
    <row r="90" spans="1:19" s="25" customFormat="1" ht="12.95" customHeight="1" x14ac:dyDescent="0.2">
      <c r="A90" s="60"/>
      <c r="B90" s="8"/>
      <c r="C90" s="7"/>
      <c r="D90" s="7"/>
      <c r="R90" s="28"/>
      <c r="S90" s="27"/>
    </row>
    <row r="91" spans="1:19" s="25" customFormat="1" ht="12.95" customHeight="1" x14ac:dyDescent="0.2">
      <c r="A91" s="60"/>
      <c r="B91" s="8"/>
      <c r="C91" s="7"/>
      <c r="D91" s="7"/>
      <c r="R91" s="28"/>
      <c r="S91" s="27"/>
    </row>
    <row r="92" spans="1:19" s="25" customFormat="1" ht="12.95" customHeight="1" x14ac:dyDescent="0.2">
      <c r="A92" s="60"/>
      <c r="B92" s="8"/>
      <c r="C92" s="7"/>
      <c r="D92" s="7"/>
      <c r="R92" s="28"/>
      <c r="S92" s="27"/>
    </row>
    <row r="93" spans="1:19" s="25" customFormat="1" ht="12.95" customHeight="1" x14ac:dyDescent="0.2">
      <c r="A93" s="60"/>
      <c r="B93" s="8"/>
      <c r="C93" s="7"/>
      <c r="D93" s="7"/>
      <c r="R93" s="28"/>
      <c r="S93" s="27"/>
    </row>
    <row r="94" spans="1:19" s="25" customFormat="1" ht="12.95" customHeight="1" x14ac:dyDescent="0.2">
      <c r="A94" s="60"/>
      <c r="B94" s="8"/>
      <c r="C94" s="7"/>
      <c r="D94" s="7"/>
      <c r="R94" s="28"/>
      <c r="S94" s="27"/>
    </row>
    <row r="95" spans="1:19" s="25" customFormat="1" ht="12.95" customHeight="1" x14ac:dyDescent="0.2">
      <c r="A95" s="60"/>
      <c r="B95" s="8"/>
      <c r="C95" s="7"/>
      <c r="D95" s="7"/>
      <c r="R95" s="28"/>
      <c r="S95" s="27"/>
    </row>
    <row r="96" spans="1:19" s="25" customFormat="1" ht="12.95" customHeight="1" x14ac:dyDescent="0.2">
      <c r="A96" s="60"/>
      <c r="B96" s="8"/>
      <c r="C96" s="7"/>
      <c r="D96" s="7"/>
      <c r="R96" s="28"/>
      <c r="S96" s="27"/>
    </row>
    <row r="97" spans="1:19" s="25" customFormat="1" ht="12.95" customHeight="1" x14ac:dyDescent="0.2">
      <c r="A97" s="60"/>
      <c r="B97" s="8"/>
      <c r="C97" s="7"/>
      <c r="D97" s="7"/>
      <c r="R97" s="28"/>
      <c r="S97" s="27"/>
    </row>
    <row r="98" spans="1:19" s="25" customFormat="1" ht="12.95" customHeight="1" x14ac:dyDescent="0.2">
      <c r="A98" s="60"/>
      <c r="B98" s="8"/>
      <c r="C98" s="7"/>
      <c r="D98" s="7"/>
      <c r="R98" s="28"/>
      <c r="S98" s="27"/>
    </row>
    <row r="99" spans="1:19" s="25" customFormat="1" ht="12.95" customHeight="1" x14ac:dyDescent="0.2">
      <c r="A99" s="60"/>
      <c r="B99" s="8"/>
      <c r="C99" s="7"/>
      <c r="D99" s="7"/>
      <c r="R99" s="28"/>
      <c r="S99" s="27"/>
    </row>
    <row r="100" spans="1:19" s="25" customFormat="1" ht="12.95" customHeight="1" x14ac:dyDescent="0.2">
      <c r="A100" s="60"/>
      <c r="B100" s="8"/>
      <c r="C100" s="7"/>
      <c r="D100" s="7"/>
      <c r="R100" s="28"/>
      <c r="S100" s="27"/>
    </row>
    <row r="101" spans="1:19" s="25" customFormat="1" ht="12.95" customHeight="1" x14ac:dyDescent="0.2">
      <c r="A101" s="60"/>
      <c r="B101" s="8"/>
      <c r="C101" s="7"/>
      <c r="D101" s="7"/>
      <c r="R101" s="28"/>
      <c r="S101" s="27"/>
    </row>
    <row r="102" spans="1:19" s="25" customFormat="1" ht="12.95" customHeight="1" x14ac:dyDescent="0.2">
      <c r="A102" s="60"/>
      <c r="B102" s="8"/>
      <c r="C102" s="7"/>
      <c r="D102" s="7"/>
      <c r="R102" s="28"/>
      <c r="S102" s="27"/>
    </row>
    <row r="103" spans="1:19" s="25" customFormat="1" ht="12.95" customHeight="1" x14ac:dyDescent="0.2">
      <c r="A103" s="60"/>
      <c r="B103" s="8"/>
      <c r="C103" s="7"/>
      <c r="D103" s="7"/>
      <c r="R103" s="28"/>
      <c r="S103" s="27"/>
    </row>
    <row r="104" spans="1:19" s="25" customFormat="1" ht="12.95" customHeight="1" x14ac:dyDescent="0.2">
      <c r="A104" s="60"/>
      <c r="B104" s="8"/>
      <c r="C104" s="7"/>
      <c r="D104" s="7"/>
      <c r="R104" s="28"/>
      <c r="S104" s="27"/>
    </row>
    <row r="105" spans="1:19" s="25" customFormat="1" ht="12.95" customHeight="1" x14ac:dyDescent="0.2">
      <c r="A105" s="60"/>
      <c r="B105" s="8"/>
      <c r="C105" s="7"/>
      <c r="D105" s="7"/>
      <c r="R105" s="28"/>
      <c r="S105" s="27"/>
    </row>
    <row r="106" spans="1:19" s="25" customFormat="1" ht="12.95" customHeight="1" x14ac:dyDescent="0.2">
      <c r="A106" s="60"/>
      <c r="B106" s="8"/>
      <c r="C106" s="7"/>
      <c r="D106" s="7"/>
      <c r="R106" s="28"/>
      <c r="S106" s="27"/>
    </row>
    <row r="107" spans="1:19" s="25" customFormat="1" ht="12.95" customHeight="1" x14ac:dyDescent="0.2">
      <c r="A107" s="60"/>
      <c r="B107" s="8"/>
      <c r="C107" s="7"/>
      <c r="D107" s="7"/>
      <c r="R107" s="28"/>
      <c r="S107" s="27"/>
    </row>
    <row r="108" spans="1:19" s="25" customFormat="1" ht="12.95" customHeight="1" x14ac:dyDescent="0.2">
      <c r="A108" s="60"/>
      <c r="B108" s="8"/>
      <c r="C108" s="7"/>
      <c r="D108" s="7"/>
      <c r="R108" s="28"/>
      <c r="S108" s="27"/>
    </row>
    <row r="109" spans="1:19" s="25" customFormat="1" ht="12.95" customHeight="1" x14ac:dyDescent="0.2">
      <c r="A109" s="60"/>
      <c r="B109" s="8"/>
      <c r="C109" s="7"/>
      <c r="D109" s="7"/>
      <c r="R109" s="28"/>
      <c r="S109" s="27"/>
    </row>
    <row r="110" spans="1:19" s="25" customFormat="1" ht="12.95" customHeight="1" x14ac:dyDescent="0.2">
      <c r="A110" s="60"/>
      <c r="B110" s="8"/>
      <c r="C110" s="7"/>
      <c r="D110" s="7"/>
      <c r="R110" s="28"/>
      <c r="S110" s="27"/>
    </row>
    <row r="111" spans="1:19" s="25" customFormat="1" ht="12.95" customHeight="1" x14ac:dyDescent="0.2">
      <c r="A111" s="60"/>
      <c r="B111" s="8"/>
      <c r="C111" s="7"/>
      <c r="D111" s="7"/>
      <c r="R111" s="28"/>
      <c r="S111" s="27"/>
    </row>
    <row r="112" spans="1:19" s="25" customFormat="1" ht="12.95" customHeight="1" x14ac:dyDescent="0.2">
      <c r="A112" s="60"/>
      <c r="B112" s="8"/>
      <c r="C112" s="7"/>
      <c r="D112" s="7"/>
      <c r="R112" s="28"/>
      <c r="S112" s="27"/>
    </row>
    <row r="113" spans="1:19" s="25" customFormat="1" ht="12.95" customHeight="1" x14ac:dyDescent="0.2">
      <c r="A113" s="60"/>
      <c r="B113" s="8"/>
      <c r="C113" s="7"/>
      <c r="D113" s="7"/>
      <c r="R113" s="28"/>
      <c r="S113" s="27"/>
    </row>
    <row r="114" spans="1:19" s="25" customFormat="1" ht="12.95" customHeight="1" x14ac:dyDescent="0.2">
      <c r="A114" s="60"/>
      <c r="B114" s="8"/>
      <c r="C114" s="7"/>
      <c r="D114" s="7"/>
      <c r="R114" s="28"/>
      <c r="S114" s="27"/>
    </row>
    <row r="115" spans="1:19" s="25" customFormat="1" ht="12.95" customHeight="1" x14ac:dyDescent="0.2">
      <c r="A115" s="60"/>
      <c r="B115" s="8"/>
      <c r="C115" s="7"/>
      <c r="D115" s="7"/>
      <c r="R115" s="28"/>
      <c r="S115" s="27"/>
    </row>
    <row r="116" spans="1:19" s="25" customFormat="1" ht="12.95" customHeight="1" x14ac:dyDescent="0.2">
      <c r="A116" s="60"/>
      <c r="B116" s="8"/>
      <c r="C116" s="7"/>
      <c r="D116" s="7"/>
      <c r="R116" s="28"/>
      <c r="S116" s="27"/>
    </row>
    <row r="117" spans="1:19" s="25" customFormat="1" ht="12.95" customHeight="1" x14ac:dyDescent="0.2">
      <c r="A117" s="60"/>
      <c r="B117" s="8"/>
      <c r="C117" s="7"/>
      <c r="D117" s="7"/>
      <c r="R117" s="28"/>
      <c r="S117" s="27"/>
    </row>
    <row r="118" spans="1:19" s="25" customFormat="1" ht="12.95" customHeight="1" x14ac:dyDescent="0.2">
      <c r="A118" s="60"/>
      <c r="B118" s="8"/>
      <c r="C118" s="7"/>
      <c r="D118" s="7"/>
      <c r="R118" s="28"/>
      <c r="S118" s="27"/>
    </row>
    <row r="119" spans="1:19" s="25" customFormat="1" ht="12.95" customHeight="1" x14ac:dyDescent="0.2">
      <c r="A119" s="60"/>
      <c r="B119" s="8"/>
      <c r="C119" s="7"/>
      <c r="D119" s="7"/>
      <c r="R119" s="28"/>
      <c r="S119" s="27"/>
    </row>
    <row r="120" spans="1:19" s="25" customFormat="1" ht="12.95" customHeight="1" x14ac:dyDescent="0.2">
      <c r="A120" s="60"/>
      <c r="B120" s="8"/>
      <c r="C120" s="7"/>
      <c r="D120" s="7"/>
      <c r="R120" s="28"/>
      <c r="S120" s="27"/>
    </row>
    <row r="121" spans="1:19" s="25" customFormat="1" ht="12.95" customHeight="1" x14ac:dyDescent="0.2">
      <c r="A121" s="60"/>
      <c r="B121" s="8"/>
      <c r="C121" s="7"/>
      <c r="D121" s="7"/>
      <c r="R121" s="28"/>
      <c r="S121" s="27"/>
    </row>
    <row r="122" spans="1:19" s="25" customFormat="1" ht="12.95" customHeight="1" x14ac:dyDescent="0.2">
      <c r="A122" s="60"/>
      <c r="B122" s="8"/>
      <c r="C122" s="7"/>
      <c r="D122" s="7"/>
      <c r="R122" s="28"/>
      <c r="S122" s="27"/>
    </row>
    <row r="123" spans="1:19" s="25" customFormat="1" ht="12.95" customHeight="1" x14ac:dyDescent="0.2">
      <c r="A123" s="60"/>
      <c r="B123" s="8"/>
      <c r="C123" s="7"/>
      <c r="D123" s="7"/>
      <c r="R123" s="28"/>
      <c r="S123" s="27"/>
    </row>
    <row r="124" spans="1:19" s="25" customFormat="1" ht="12.95" customHeight="1" x14ac:dyDescent="0.2">
      <c r="A124" s="60"/>
      <c r="B124" s="8"/>
      <c r="C124" s="7"/>
      <c r="D124" s="7"/>
      <c r="R124" s="28"/>
      <c r="S124" s="27"/>
    </row>
    <row r="125" spans="1:19" s="25" customFormat="1" ht="12.95" customHeight="1" x14ac:dyDescent="0.2">
      <c r="A125" s="60"/>
      <c r="B125" s="8"/>
      <c r="C125" s="7"/>
      <c r="D125" s="7"/>
      <c r="R125" s="28"/>
      <c r="S125" s="27"/>
    </row>
    <row r="126" spans="1:19" s="25" customFormat="1" ht="12.95" customHeight="1" x14ac:dyDescent="0.2">
      <c r="A126" s="60"/>
      <c r="B126" s="8"/>
      <c r="C126" s="7"/>
      <c r="D126" s="7"/>
      <c r="R126" s="28"/>
      <c r="S126" s="27"/>
    </row>
    <row r="127" spans="1:19" s="25" customFormat="1" ht="12.95" customHeight="1" x14ac:dyDescent="0.2">
      <c r="A127" s="60"/>
      <c r="B127" s="8"/>
      <c r="C127" s="7"/>
      <c r="D127" s="7"/>
      <c r="R127" s="28"/>
      <c r="S127" s="27"/>
    </row>
    <row r="128" spans="1:19" s="25" customFormat="1" ht="12.95" customHeight="1" x14ac:dyDescent="0.2">
      <c r="A128" s="60"/>
      <c r="B128" s="8"/>
      <c r="C128" s="7"/>
      <c r="D128" s="7"/>
      <c r="R128" s="28"/>
      <c r="S128" s="27"/>
    </row>
    <row r="129" spans="1:19" s="25" customFormat="1" ht="12.95" customHeight="1" x14ac:dyDescent="0.2">
      <c r="A129" s="60"/>
      <c r="B129" s="8"/>
      <c r="C129" s="7"/>
      <c r="D129" s="7"/>
      <c r="R129" s="28"/>
      <c r="S129" s="27"/>
    </row>
    <row r="130" spans="1:19" s="25" customFormat="1" ht="12.95" customHeight="1" x14ac:dyDescent="0.2">
      <c r="A130" s="60"/>
      <c r="B130" s="8"/>
      <c r="C130" s="7"/>
      <c r="D130" s="7"/>
      <c r="R130" s="28"/>
      <c r="S130" s="27"/>
    </row>
    <row r="131" spans="1:19" s="25" customFormat="1" ht="12.95" customHeight="1" x14ac:dyDescent="0.2">
      <c r="A131" s="60"/>
      <c r="B131" s="8"/>
      <c r="C131" s="7"/>
      <c r="D131" s="7"/>
      <c r="R131" s="28"/>
      <c r="S131" s="27"/>
    </row>
    <row r="132" spans="1:19" s="25" customFormat="1" ht="12.95" customHeight="1" x14ac:dyDescent="0.2">
      <c r="A132" s="60"/>
      <c r="B132" s="8"/>
      <c r="C132" s="7"/>
      <c r="D132" s="7"/>
      <c r="R132" s="28"/>
      <c r="S132" s="27"/>
    </row>
    <row r="133" spans="1:19" s="25" customFormat="1" ht="12.95" customHeight="1" x14ac:dyDescent="0.2">
      <c r="A133" s="60"/>
      <c r="B133" s="8"/>
      <c r="C133" s="7"/>
      <c r="D133" s="7"/>
      <c r="R133" s="28"/>
      <c r="S133" s="27"/>
    </row>
    <row r="134" spans="1:19" s="25" customFormat="1" ht="12.95" customHeight="1" x14ac:dyDescent="0.2">
      <c r="A134" s="60"/>
      <c r="B134" s="8"/>
      <c r="C134" s="7"/>
      <c r="D134" s="7"/>
      <c r="R134" s="28"/>
      <c r="S134" s="27"/>
    </row>
    <row r="135" spans="1:19" s="25" customFormat="1" ht="12.95" customHeight="1" x14ac:dyDescent="0.2">
      <c r="A135" s="60"/>
      <c r="B135" s="8"/>
      <c r="C135" s="7"/>
      <c r="D135" s="7"/>
      <c r="R135" s="28"/>
      <c r="S135" s="27"/>
    </row>
    <row r="136" spans="1:19" s="25" customFormat="1" ht="12.95" customHeight="1" x14ac:dyDescent="0.2">
      <c r="A136" s="60"/>
      <c r="B136" s="8"/>
      <c r="C136" s="7"/>
      <c r="D136" s="7"/>
      <c r="R136" s="28"/>
      <c r="S136" s="27"/>
    </row>
    <row r="137" spans="1:19" s="25" customFormat="1" ht="12.95" customHeight="1" x14ac:dyDescent="0.2">
      <c r="A137" s="60"/>
      <c r="B137" s="8"/>
      <c r="C137" s="7"/>
      <c r="D137" s="7"/>
      <c r="R137" s="28"/>
      <c r="S137" s="27"/>
    </row>
    <row r="138" spans="1:19" s="25" customFormat="1" ht="12.95" customHeight="1" x14ac:dyDescent="0.2">
      <c r="A138" s="60"/>
      <c r="B138" s="8"/>
      <c r="C138" s="7"/>
      <c r="D138" s="7"/>
      <c r="R138" s="28"/>
      <c r="S138" s="27"/>
    </row>
    <row r="139" spans="1:19" s="25" customFormat="1" ht="12.95" customHeight="1" x14ac:dyDescent="0.2">
      <c r="A139" s="60"/>
      <c r="B139" s="8"/>
      <c r="C139" s="7"/>
      <c r="D139" s="7"/>
      <c r="R139" s="28"/>
      <c r="S139" s="27"/>
    </row>
    <row r="140" spans="1:19" s="25" customFormat="1" ht="12.95" customHeight="1" x14ac:dyDescent="0.2">
      <c r="A140" s="60"/>
      <c r="B140" s="8"/>
      <c r="C140" s="7"/>
      <c r="D140" s="7"/>
      <c r="R140" s="28"/>
      <c r="S140" s="27"/>
    </row>
    <row r="141" spans="1:19" s="25" customFormat="1" ht="12.95" customHeight="1" x14ac:dyDescent="0.2">
      <c r="A141" s="60"/>
      <c r="B141" s="8"/>
      <c r="C141" s="7"/>
      <c r="D141" s="7"/>
      <c r="R141" s="28"/>
      <c r="S141" s="27"/>
    </row>
    <row r="142" spans="1:19" s="25" customFormat="1" ht="12.95" customHeight="1" x14ac:dyDescent="0.2">
      <c r="A142" s="60"/>
      <c r="B142" s="8"/>
      <c r="C142" s="7"/>
      <c r="D142" s="7"/>
      <c r="R142" s="28"/>
      <c r="S142" s="27"/>
    </row>
    <row r="143" spans="1:19" s="25" customFormat="1" ht="12.95" customHeight="1" x14ac:dyDescent="0.2">
      <c r="A143" s="60"/>
      <c r="B143" s="8"/>
      <c r="C143" s="7"/>
      <c r="D143" s="7"/>
      <c r="R143" s="28"/>
      <c r="S143" s="27"/>
    </row>
    <row r="144" spans="1:19" s="25" customFormat="1" ht="12.95" customHeight="1" x14ac:dyDescent="0.2">
      <c r="A144" s="60"/>
      <c r="B144" s="8"/>
      <c r="C144" s="7"/>
      <c r="D144" s="7"/>
      <c r="R144" s="28"/>
      <c r="S144" s="27"/>
    </row>
    <row r="145" spans="1:19" s="25" customFormat="1" ht="12.95" customHeight="1" x14ac:dyDescent="0.2">
      <c r="A145" s="60"/>
      <c r="B145" s="8"/>
      <c r="C145" s="7"/>
      <c r="D145" s="7"/>
      <c r="R145" s="28"/>
      <c r="S145" s="27"/>
    </row>
    <row r="146" spans="1:19" s="25" customFormat="1" ht="12.95" customHeight="1" x14ac:dyDescent="0.2">
      <c r="A146" s="60"/>
      <c r="B146" s="8"/>
      <c r="C146" s="7"/>
      <c r="D146" s="7"/>
      <c r="R146" s="28"/>
      <c r="S146" s="27"/>
    </row>
    <row r="147" spans="1:19" s="25" customFormat="1" ht="12.95" customHeight="1" x14ac:dyDescent="0.2">
      <c r="A147" s="60"/>
      <c r="B147" s="8"/>
      <c r="C147" s="7"/>
      <c r="D147" s="7"/>
      <c r="R147" s="28"/>
      <c r="S147" s="27"/>
    </row>
    <row r="148" spans="1:19" x14ac:dyDescent="0.2">
      <c r="A148" s="9"/>
      <c r="B148" s="86"/>
      <c r="C148" s="88"/>
      <c r="D148" s="88"/>
      <c r="R148" s="23"/>
    </row>
    <row r="149" spans="1:19" x14ac:dyDescent="0.2">
      <c r="A149" s="9"/>
      <c r="B149" s="86"/>
      <c r="C149" s="88"/>
      <c r="D149" s="88"/>
      <c r="R149" s="23"/>
    </row>
    <row r="150" spans="1:19" x14ac:dyDescent="0.2">
      <c r="A150" s="9"/>
      <c r="B150" s="86"/>
      <c r="C150" s="88"/>
      <c r="D150" s="88"/>
      <c r="R150" s="23"/>
    </row>
    <row r="151" spans="1:19" x14ac:dyDescent="0.2">
      <c r="A151" s="9"/>
      <c r="B151" s="86"/>
      <c r="C151" s="88"/>
      <c r="D151" s="88"/>
    </row>
    <row r="152" spans="1:19" x14ac:dyDescent="0.2">
      <c r="A152" s="9"/>
      <c r="B152" s="86"/>
      <c r="C152" s="88"/>
      <c r="D152" s="88"/>
    </row>
    <row r="153" spans="1:19" x14ac:dyDescent="0.2">
      <c r="A153" s="9"/>
      <c r="B153" s="86"/>
      <c r="C153" s="88"/>
      <c r="D153" s="88"/>
    </row>
    <row r="154" spans="1:19" x14ac:dyDescent="0.2">
      <c r="A154" s="9"/>
      <c r="B154" s="86"/>
      <c r="C154" s="88"/>
      <c r="D154" s="88"/>
    </row>
    <row r="155" spans="1:19" x14ac:dyDescent="0.2">
      <c r="A155" s="9"/>
      <c r="B155" s="86"/>
      <c r="C155" s="88"/>
      <c r="D155" s="88"/>
    </row>
    <row r="156" spans="1:19" x14ac:dyDescent="0.2">
      <c r="A156" s="9"/>
      <c r="B156" s="86"/>
      <c r="C156" s="88"/>
      <c r="D156" s="88"/>
    </row>
    <row r="157" spans="1:19" x14ac:dyDescent="0.2">
      <c r="A157" s="9"/>
      <c r="B157" s="86"/>
      <c r="C157" s="88"/>
      <c r="D157" s="88"/>
    </row>
    <row r="158" spans="1:19" x14ac:dyDescent="0.2">
      <c r="A158" s="9"/>
      <c r="B158" s="86"/>
      <c r="C158" s="88"/>
      <c r="D158" s="88"/>
    </row>
    <row r="159" spans="1:19" x14ac:dyDescent="0.2">
      <c r="A159" s="9"/>
      <c r="B159" s="86"/>
      <c r="C159" s="88"/>
      <c r="D159" s="88"/>
    </row>
    <row r="160" spans="1:19" x14ac:dyDescent="0.2">
      <c r="A160" s="9"/>
      <c r="B160" s="86"/>
      <c r="C160" s="88"/>
      <c r="D160" s="88"/>
    </row>
    <row r="161" spans="1:4" x14ac:dyDescent="0.2">
      <c r="A161" s="9"/>
      <c r="B161" s="86"/>
      <c r="C161" s="88"/>
      <c r="D161" s="88"/>
    </row>
    <row r="162" spans="1:4" x14ac:dyDescent="0.2">
      <c r="A162" s="9"/>
      <c r="B162" s="86"/>
      <c r="C162" s="88"/>
      <c r="D162" s="88"/>
    </row>
    <row r="163" spans="1:4" x14ac:dyDescent="0.2">
      <c r="A163" s="9"/>
      <c r="B163" s="86"/>
      <c r="C163" s="88"/>
      <c r="D163" s="88"/>
    </row>
    <row r="164" spans="1:4" x14ac:dyDescent="0.2">
      <c r="A164" s="9"/>
      <c r="B164" s="86"/>
      <c r="C164" s="88"/>
      <c r="D164" s="88"/>
    </row>
    <row r="165" spans="1:4" x14ac:dyDescent="0.2">
      <c r="A165" s="9"/>
      <c r="B165" s="86"/>
      <c r="C165" s="88"/>
      <c r="D165" s="88"/>
    </row>
    <row r="166" spans="1:4" x14ac:dyDescent="0.2">
      <c r="A166" s="9"/>
      <c r="B166" s="86"/>
      <c r="C166" s="88"/>
      <c r="D166" s="88"/>
    </row>
    <row r="167" spans="1:4" x14ac:dyDescent="0.2">
      <c r="A167" s="9"/>
      <c r="B167" s="86"/>
      <c r="C167" s="88"/>
      <c r="D167" s="88"/>
    </row>
    <row r="168" spans="1:4" x14ac:dyDescent="0.2">
      <c r="A168" s="9"/>
      <c r="B168" s="86"/>
      <c r="C168" s="88"/>
      <c r="D168" s="88"/>
    </row>
    <row r="169" spans="1:4" x14ac:dyDescent="0.2">
      <c r="A169" s="9"/>
      <c r="B169" s="86"/>
      <c r="C169" s="88"/>
      <c r="D169" s="88"/>
    </row>
    <row r="170" spans="1:4" x14ac:dyDescent="0.2">
      <c r="A170" s="9"/>
      <c r="B170" s="86"/>
      <c r="C170" s="88"/>
      <c r="D170" s="88"/>
    </row>
    <row r="171" spans="1:4" x14ac:dyDescent="0.2">
      <c r="A171" s="9"/>
      <c r="B171" s="86"/>
      <c r="C171" s="88"/>
      <c r="D171" s="88"/>
    </row>
    <row r="172" spans="1:4" x14ac:dyDescent="0.2">
      <c r="A172" s="9"/>
      <c r="B172" s="86"/>
      <c r="C172" s="88"/>
      <c r="D172" s="88"/>
    </row>
    <row r="173" spans="1:4" x14ac:dyDescent="0.2">
      <c r="A173" s="9"/>
      <c r="B173" s="86"/>
      <c r="C173" s="88"/>
      <c r="D173" s="88"/>
    </row>
    <row r="174" spans="1:4" x14ac:dyDescent="0.2">
      <c r="A174" s="9"/>
      <c r="B174" s="86"/>
      <c r="C174" s="88"/>
      <c r="D174" s="88"/>
    </row>
    <row r="175" spans="1:4" x14ac:dyDescent="0.2">
      <c r="A175" s="9"/>
      <c r="B175" s="86"/>
      <c r="C175" s="88"/>
      <c r="D175" s="88"/>
    </row>
    <row r="176" spans="1:4" x14ac:dyDescent="0.2">
      <c r="A176" s="9"/>
      <c r="B176" s="86"/>
      <c r="C176" s="88"/>
      <c r="D176" s="88"/>
    </row>
    <row r="177" spans="1:4" x14ac:dyDescent="0.2">
      <c r="A177" s="9"/>
      <c r="B177" s="86"/>
      <c r="C177" s="88"/>
      <c r="D177" s="88"/>
    </row>
    <row r="178" spans="1:4" x14ac:dyDescent="0.2">
      <c r="A178" s="9"/>
      <c r="B178" s="86"/>
      <c r="C178" s="88"/>
      <c r="D178" s="88"/>
    </row>
    <row r="179" spans="1:4" x14ac:dyDescent="0.2">
      <c r="A179" s="9"/>
      <c r="B179" s="86"/>
      <c r="C179" s="88"/>
      <c r="D179" s="88"/>
    </row>
    <row r="180" spans="1:4" x14ac:dyDescent="0.2">
      <c r="A180" s="9"/>
      <c r="B180" s="86"/>
      <c r="C180" s="88"/>
      <c r="D180" s="88"/>
    </row>
    <row r="181" spans="1:4" x14ac:dyDescent="0.2">
      <c r="A181" s="9"/>
      <c r="B181" s="86"/>
      <c r="C181" s="88"/>
      <c r="D181" s="88"/>
    </row>
    <row r="182" spans="1:4" x14ac:dyDescent="0.2">
      <c r="A182" s="9"/>
      <c r="B182" s="86"/>
      <c r="C182" s="88"/>
      <c r="D182" s="88"/>
    </row>
    <row r="183" spans="1:4" x14ac:dyDescent="0.2">
      <c r="A183" s="9"/>
      <c r="B183" s="86"/>
      <c r="C183" s="88"/>
      <c r="D183" s="88"/>
    </row>
    <row r="184" spans="1:4" x14ac:dyDescent="0.2">
      <c r="A184" s="9"/>
      <c r="B184" s="86"/>
      <c r="C184" s="88"/>
      <c r="D184" s="88"/>
    </row>
    <row r="185" spans="1:4" x14ac:dyDescent="0.2">
      <c r="A185" s="9"/>
      <c r="B185" s="86"/>
      <c r="C185" s="88"/>
      <c r="D185" s="88"/>
    </row>
    <row r="186" spans="1:4" x14ac:dyDescent="0.2">
      <c r="A186" s="9"/>
      <c r="B186" s="86"/>
      <c r="C186" s="88"/>
      <c r="D186" s="88"/>
    </row>
    <row r="187" spans="1:4" x14ac:dyDescent="0.2">
      <c r="A187" s="9"/>
      <c r="B187" s="86"/>
      <c r="C187" s="88"/>
      <c r="D187" s="88"/>
    </row>
    <row r="188" spans="1:4" x14ac:dyDescent="0.2">
      <c r="A188" s="9"/>
      <c r="B188" s="86"/>
      <c r="C188" s="88"/>
      <c r="D188" s="88"/>
    </row>
    <row r="189" spans="1:4" x14ac:dyDescent="0.2">
      <c r="A189" s="9"/>
      <c r="B189" s="86"/>
      <c r="C189" s="88"/>
      <c r="D189" s="88"/>
    </row>
    <row r="190" spans="1:4" x14ac:dyDescent="0.2">
      <c r="A190" s="9"/>
      <c r="B190" s="86"/>
      <c r="C190" s="88"/>
      <c r="D190" s="88"/>
    </row>
    <row r="191" spans="1:4" x14ac:dyDescent="0.2">
      <c r="A191" s="9"/>
      <c r="B191" s="86"/>
      <c r="C191" s="88"/>
      <c r="D191" s="88"/>
    </row>
    <row r="192" spans="1:4" x14ac:dyDescent="0.2">
      <c r="A192" s="9"/>
      <c r="B192" s="86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A926" s="9"/>
      <c r="B926" s="9"/>
      <c r="C926" s="9"/>
      <c r="D926" s="9"/>
    </row>
    <row r="927" spans="1:4" x14ac:dyDescent="0.2">
      <c r="A927" s="9"/>
      <c r="B927" s="9"/>
      <c r="C927" s="9"/>
      <c r="D927" s="9"/>
    </row>
    <row r="928" spans="1:4" x14ac:dyDescent="0.2">
      <c r="A928" s="9"/>
      <c r="B928" s="9"/>
      <c r="C928" s="9"/>
      <c r="D928" s="9"/>
    </row>
    <row r="929" spans="1:4" x14ac:dyDescent="0.2">
      <c r="A929" s="9"/>
      <c r="B929" s="9"/>
      <c r="C929" s="9"/>
      <c r="D929" s="9"/>
    </row>
    <row r="930" spans="1:4" x14ac:dyDescent="0.2">
      <c r="A930" s="9"/>
      <c r="B930" s="9"/>
      <c r="C930" s="9"/>
      <c r="D930" s="9"/>
    </row>
    <row r="931" spans="1:4" x14ac:dyDescent="0.2">
      <c r="A931" s="9"/>
      <c r="B931" s="9"/>
      <c r="C931" s="9"/>
      <c r="D931" s="9"/>
    </row>
    <row r="932" spans="1:4" x14ac:dyDescent="0.2">
      <c r="A932" s="9"/>
      <c r="B932" s="9"/>
      <c r="C932" s="9"/>
      <c r="D932" s="9"/>
    </row>
    <row r="933" spans="1:4" x14ac:dyDescent="0.2">
      <c r="A933" s="9"/>
      <c r="B933" s="9"/>
      <c r="C933" s="9"/>
      <c r="D933" s="9"/>
    </row>
    <row r="934" spans="1:4" x14ac:dyDescent="0.2">
      <c r="A934" s="9"/>
      <c r="B934" s="9"/>
      <c r="C934" s="9"/>
      <c r="D934" s="9"/>
    </row>
    <row r="935" spans="1:4" x14ac:dyDescent="0.2">
      <c r="A935" s="9"/>
      <c r="B935" s="9"/>
      <c r="C935" s="9"/>
      <c r="D935" s="9"/>
    </row>
    <row r="936" spans="1:4" x14ac:dyDescent="0.2">
      <c r="A936" s="9"/>
      <c r="B936" s="9"/>
      <c r="C936" s="9"/>
      <c r="D936" s="9"/>
    </row>
    <row r="937" spans="1:4" x14ac:dyDescent="0.2">
      <c r="A937" s="9"/>
      <c r="B937" s="9"/>
      <c r="C937" s="9"/>
      <c r="D937" s="9"/>
    </row>
    <row r="938" spans="1:4" x14ac:dyDescent="0.2">
      <c r="A938" s="9"/>
      <c r="B938" s="9"/>
      <c r="C938" s="9"/>
      <c r="D938" s="9"/>
    </row>
    <row r="939" spans="1:4" x14ac:dyDescent="0.2">
      <c r="A939" s="9"/>
      <c r="B939" s="9"/>
      <c r="C939" s="9"/>
      <c r="D939" s="9"/>
    </row>
    <row r="940" spans="1:4" x14ac:dyDescent="0.2">
      <c r="A940" s="9"/>
      <c r="B940" s="9"/>
      <c r="C940" s="9"/>
      <c r="D940" s="9"/>
    </row>
    <row r="941" spans="1:4" x14ac:dyDescent="0.2">
      <c r="A941" s="9"/>
      <c r="B941" s="9"/>
      <c r="C941" s="9"/>
      <c r="D941" s="9"/>
    </row>
    <row r="942" spans="1:4" x14ac:dyDescent="0.2">
      <c r="A942" s="9"/>
      <c r="B942" s="9"/>
      <c r="C942" s="9"/>
      <c r="D942" s="9"/>
    </row>
    <row r="943" spans="1:4" x14ac:dyDescent="0.2">
      <c r="A943" s="9"/>
      <c r="B943" s="9"/>
      <c r="C943" s="9"/>
      <c r="D943" s="9"/>
    </row>
    <row r="944" spans="1:4" x14ac:dyDescent="0.2">
      <c r="A944" s="9"/>
      <c r="B944" s="9"/>
      <c r="C944" s="9"/>
      <c r="D944" s="9"/>
    </row>
    <row r="945" spans="1:4" x14ac:dyDescent="0.2">
      <c r="A945" s="9"/>
      <c r="B945" s="9"/>
      <c r="C945" s="9"/>
      <c r="D945" s="9"/>
    </row>
    <row r="946" spans="1:4" x14ac:dyDescent="0.2">
      <c r="A946" s="9"/>
      <c r="B946" s="9"/>
      <c r="C946" s="9"/>
      <c r="D946" s="9"/>
    </row>
    <row r="947" spans="1:4" x14ac:dyDescent="0.2">
      <c r="A947" s="9"/>
      <c r="B947" s="9"/>
      <c r="C947" s="9"/>
      <c r="D947" s="9"/>
    </row>
    <row r="948" spans="1:4" x14ac:dyDescent="0.2">
      <c r="A948" s="9"/>
      <c r="B948" s="9"/>
      <c r="C948" s="9"/>
      <c r="D948" s="9"/>
    </row>
    <row r="949" spans="1:4" x14ac:dyDescent="0.2">
      <c r="A949" s="9"/>
      <c r="B949" s="9"/>
      <c r="C949" s="9"/>
      <c r="D949" s="9"/>
    </row>
    <row r="950" spans="1:4" x14ac:dyDescent="0.2">
      <c r="A950" s="9"/>
      <c r="B950" s="9"/>
      <c r="C950" s="9"/>
      <c r="D950" s="9"/>
    </row>
    <row r="951" spans="1:4" x14ac:dyDescent="0.2">
      <c r="A951" s="9"/>
      <c r="B951" s="9"/>
      <c r="C951" s="9"/>
      <c r="D951" s="9"/>
    </row>
    <row r="952" spans="1:4" x14ac:dyDescent="0.2">
      <c r="A952" s="9"/>
      <c r="B952" s="9"/>
      <c r="C952" s="9"/>
      <c r="D952" s="9"/>
    </row>
    <row r="953" spans="1:4" x14ac:dyDescent="0.2">
      <c r="A953" s="9"/>
      <c r="B953" s="9"/>
      <c r="C953" s="9"/>
      <c r="D953" s="9"/>
    </row>
    <row r="954" spans="1:4" x14ac:dyDescent="0.2">
      <c r="A954" s="9"/>
      <c r="B954" s="9"/>
      <c r="C954" s="9"/>
      <c r="D954" s="9"/>
    </row>
    <row r="955" spans="1:4" x14ac:dyDescent="0.2">
      <c r="A955" s="9"/>
      <c r="B955" s="9"/>
      <c r="C955" s="9"/>
      <c r="D955" s="9"/>
    </row>
    <row r="956" spans="1:4" x14ac:dyDescent="0.2">
      <c r="A956" s="9"/>
      <c r="B956" s="9"/>
      <c r="C956" s="9"/>
      <c r="D956" s="9"/>
    </row>
    <row r="957" spans="1:4" x14ac:dyDescent="0.2">
      <c r="A957" s="9"/>
      <c r="B957" s="9"/>
      <c r="C957" s="9"/>
      <c r="D957" s="9"/>
    </row>
    <row r="958" spans="1:4" x14ac:dyDescent="0.2">
      <c r="A958" s="9"/>
      <c r="B958" s="9"/>
      <c r="C958" s="9"/>
      <c r="D958" s="9"/>
    </row>
    <row r="959" spans="1:4" x14ac:dyDescent="0.2">
      <c r="A959" s="9"/>
      <c r="B959" s="9"/>
      <c r="C959" s="9"/>
      <c r="D959" s="9"/>
    </row>
    <row r="960" spans="1:4" x14ac:dyDescent="0.2">
      <c r="A960" s="9"/>
      <c r="B960" s="9"/>
      <c r="C960" s="9"/>
      <c r="D960" s="9"/>
    </row>
    <row r="961" spans="1:4" x14ac:dyDescent="0.2">
      <c r="A961" s="9"/>
      <c r="B961" s="9"/>
      <c r="C961" s="9"/>
      <c r="D961" s="9"/>
    </row>
    <row r="962" spans="1:4" x14ac:dyDescent="0.2">
      <c r="A962" s="9"/>
      <c r="B962" s="9"/>
      <c r="C962" s="9"/>
      <c r="D962" s="9"/>
    </row>
    <row r="963" spans="1:4" x14ac:dyDescent="0.2">
      <c r="A963" s="9"/>
      <c r="B963" s="9"/>
      <c r="C963" s="9"/>
      <c r="D963" s="9"/>
    </row>
    <row r="964" spans="1:4" x14ac:dyDescent="0.2">
      <c r="A964" s="9"/>
      <c r="B964" s="9"/>
      <c r="C964" s="9"/>
      <c r="D964" s="9"/>
    </row>
  </sheetData>
  <protectedRanges>
    <protectedRange sqref="A73:D73" name="Range1"/>
  </protectedRanges>
  <phoneticPr fontId="8" type="noConversion"/>
  <hyperlinks>
    <hyperlink ref="H1242" r:id="rId1" display="http://vsolj.cetus-net.org/bulletin.html" xr:uid="{00000000-0004-0000-0000-000000000000}"/>
    <hyperlink ref="H64811" r:id="rId2" display="http://vsolj.cetus-net.org/bulletin.html" xr:uid="{00000000-0004-0000-0000-000001000000}"/>
    <hyperlink ref="H64804" r:id="rId3" display="https://www.aavso.org/ejaavso" xr:uid="{00000000-0004-0000-0000-000002000000}"/>
    <hyperlink ref="AP955" r:id="rId4" display="http://cdsbib.u-strasbg.fr/cgi-bin/cdsbib?1990RMxAA..21..381G" xr:uid="{00000000-0004-0000-0000-000003000000}"/>
    <hyperlink ref="AP959" r:id="rId5" display="http://cdsbib.u-strasbg.fr/cgi-bin/cdsbib?1990RMxAA..21..381G" xr:uid="{00000000-0004-0000-0000-000004000000}"/>
    <hyperlink ref="AP958" r:id="rId6" display="http://cdsbib.u-strasbg.fr/cgi-bin/cdsbib?1990RMxAA..21..381G" xr:uid="{00000000-0004-0000-0000-000005000000}"/>
    <hyperlink ref="AP939" r:id="rId7" display="http://cdsbib.u-strasbg.fr/cgi-bin/cdsbib?1990RMxAA..21..381G" xr:uid="{00000000-0004-0000-0000-000006000000}"/>
    <hyperlink ref="I64811" r:id="rId8" display="http://vsolj.cetus-net.org/bulletin.html" xr:uid="{00000000-0004-0000-0000-000007000000}"/>
    <hyperlink ref="AQ1095" r:id="rId9" display="http://cdsbib.u-strasbg.fr/cgi-bin/cdsbib?1990RMxAA..21..381G" xr:uid="{00000000-0004-0000-0000-000008000000}"/>
    <hyperlink ref="AQ55861" r:id="rId10" display="http://cdsbib.u-strasbg.fr/cgi-bin/cdsbib?1990RMxAA..21..381G" xr:uid="{00000000-0004-0000-0000-000009000000}"/>
    <hyperlink ref="AQ1096" r:id="rId11" display="http://cdsbib.u-strasbg.fr/cgi-bin/cdsbib?1990RMxAA..21..381G" xr:uid="{00000000-0004-0000-0000-00000A000000}"/>
    <hyperlink ref="H64808" r:id="rId12" display="https://www.aavso.org/ejaavso" xr:uid="{00000000-0004-0000-0000-00000B000000}"/>
    <hyperlink ref="H1981" r:id="rId13" display="http://vsolj.cetus-net.org/bulletin.html" xr:uid="{00000000-0004-0000-0000-00000C000000}"/>
    <hyperlink ref="AP3225" r:id="rId14" display="http://cdsbib.u-strasbg.fr/cgi-bin/cdsbib?1990RMxAA..21..381G" xr:uid="{00000000-0004-0000-0000-00000D000000}"/>
    <hyperlink ref="AP3228" r:id="rId15" display="http://cdsbib.u-strasbg.fr/cgi-bin/cdsbib?1990RMxAA..21..381G" xr:uid="{00000000-0004-0000-0000-00000E000000}"/>
    <hyperlink ref="AP3226" r:id="rId16" display="http://cdsbib.u-strasbg.fr/cgi-bin/cdsbib?1990RMxAA..21..381G" xr:uid="{00000000-0004-0000-0000-00000F000000}"/>
    <hyperlink ref="AP3210" r:id="rId17" display="http://cdsbib.u-strasbg.fr/cgi-bin/cdsbib?1990RMxAA..21..381G" xr:uid="{00000000-0004-0000-0000-000010000000}"/>
    <hyperlink ref="I1981" r:id="rId18" display="http://vsolj.cetus-net.org/bulletin.html" xr:uid="{00000000-0004-0000-0000-000011000000}"/>
    <hyperlink ref="AQ3439" r:id="rId19" display="http://cdsbib.u-strasbg.fr/cgi-bin/cdsbib?1990RMxAA..21..381G" xr:uid="{00000000-0004-0000-0000-000012000000}"/>
    <hyperlink ref="AQ140" r:id="rId20" display="http://cdsbib.u-strasbg.fr/cgi-bin/cdsbib?1990RMxAA..21..381G" xr:uid="{00000000-0004-0000-0000-000013000000}"/>
    <hyperlink ref="AQ344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3"/>
  <sheetViews>
    <sheetView workbookViewId="0">
      <selection activeCell="A45" sqref="A45:D46"/>
    </sheetView>
  </sheetViews>
  <sheetFormatPr defaultRowHeight="12.75" x14ac:dyDescent="0.2"/>
  <cols>
    <col min="1" max="1" width="19.7109375" style="6" customWidth="1"/>
    <col min="2" max="2" width="4.42578125" style="4" customWidth="1"/>
    <col min="3" max="3" width="12.7109375" style="6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6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66</v>
      </c>
      <c r="I1" s="11" t="s">
        <v>67</v>
      </c>
      <c r="J1" s="12" t="s">
        <v>59</v>
      </c>
    </row>
    <row r="2" spans="1:16" x14ac:dyDescent="0.2">
      <c r="I2" s="13" t="s">
        <v>68</v>
      </c>
      <c r="J2" s="14" t="s">
        <v>69</v>
      </c>
    </row>
    <row r="3" spans="1:16" x14ac:dyDescent="0.2">
      <c r="A3" s="15" t="s">
        <v>70</v>
      </c>
      <c r="I3" s="13" t="s">
        <v>71</v>
      </c>
      <c r="J3" s="14" t="s">
        <v>72</v>
      </c>
    </row>
    <row r="4" spans="1:16" x14ac:dyDescent="0.2">
      <c r="I4" s="13" t="s">
        <v>73</v>
      </c>
      <c r="J4" s="14" t="s">
        <v>72</v>
      </c>
    </row>
    <row r="5" spans="1:16" ht="13.5" thickBot="1" x14ac:dyDescent="0.25">
      <c r="I5" s="16" t="s">
        <v>74</v>
      </c>
      <c r="J5" s="17" t="s">
        <v>75</v>
      </c>
    </row>
    <row r="10" spans="1:16" ht="13.5" thickBot="1" x14ac:dyDescent="0.25"/>
    <row r="11" spans="1:16" ht="12.75" customHeight="1" thickBot="1" x14ac:dyDescent="0.25">
      <c r="A11" s="6" t="str">
        <f t="shared" ref="A11:A46" si="0">P11</f>
        <v> AJ 119.1901 </v>
      </c>
      <c r="B11" s="1" t="str">
        <f t="shared" ref="B11:B46" si="1">IF(H11=INT(H11),"I","II")</f>
        <v>II</v>
      </c>
      <c r="C11" s="6">
        <f t="shared" ref="C11:C46" si="2">1*G11</f>
        <v>51244.676599999999</v>
      </c>
      <c r="D11" s="4" t="str">
        <f t="shared" ref="D11:D46" si="3">VLOOKUP(F11,I$1:J$5,2,FALSE)</f>
        <v>vis</v>
      </c>
      <c r="E11" s="18">
        <f>VLOOKUP(C11,Active!C$21:E$973,3,FALSE)</f>
        <v>1.5308577168283075E-2</v>
      </c>
      <c r="F11" s="1" t="s">
        <v>74</v>
      </c>
      <c r="G11" s="4" t="str">
        <f t="shared" ref="G11:G46" si="4">MID(I11,3,LEN(I11)-3)</f>
        <v>51244.6766</v>
      </c>
      <c r="H11" s="6">
        <f t="shared" ref="H11:H46" si="5">1*K11</f>
        <v>-13124.5</v>
      </c>
      <c r="I11" s="19" t="s">
        <v>76</v>
      </c>
      <c r="J11" s="20" t="s">
        <v>77</v>
      </c>
      <c r="K11" s="19">
        <v>-13124.5</v>
      </c>
      <c r="L11" s="19" t="s">
        <v>78</v>
      </c>
      <c r="M11" s="20" t="s">
        <v>79</v>
      </c>
      <c r="N11" s="20" t="s">
        <v>80</v>
      </c>
      <c r="O11" s="21" t="s">
        <v>81</v>
      </c>
      <c r="P11" s="21" t="s">
        <v>82</v>
      </c>
    </row>
    <row r="12" spans="1:16" ht="12.75" customHeight="1" thickBot="1" x14ac:dyDescent="0.25">
      <c r="A12" s="6" t="str">
        <f t="shared" si="0"/>
        <v> AJ 119.1901 </v>
      </c>
      <c r="B12" s="1" t="str">
        <f t="shared" si="1"/>
        <v>I</v>
      </c>
      <c r="C12" s="6">
        <f t="shared" si="2"/>
        <v>51246.6826</v>
      </c>
      <c r="D12" s="4" t="str">
        <f t="shared" si="3"/>
        <v>vis</v>
      </c>
      <c r="E12" s="18">
        <f>VLOOKUP(C12,Active!C$21:E$973,3,FALSE)</f>
        <v>5.4990596159679326</v>
      </c>
      <c r="F12" s="1" t="s">
        <v>74</v>
      </c>
      <c r="G12" s="4" t="str">
        <f t="shared" si="4"/>
        <v>51246.6826</v>
      </c>
      <c r="H12" s="6">
        <f t="shared" si="5"/>
        <v>-13119</v>
      </c>
      <c r="I12" s="19" t="s">
        <v>83</v>
      </c>
      <c r="J12" s="20" t="s">
        <v>84</v>
      </c>
      <c r="K12" s="19">
        <v>-13119</v>
      </c>
      <c r="L12" s="19" t="s">
        <v>85</v>
      </c>
      <c r="M12" s="20" t="s">
        <v>79</v>
      </c>
      <c r="N12" s="20" t="s">
        <v>80</v>
      </c>
      <c r="O12" s="21" t="s">
        <v>81</v>
      </c>
      <c r="P12" s="21" t="s">
        <v>82</v>
      </c>
    </row>
    <row r="13" spans="1:16" ht="12.75" customHeight="1" thickBot="1" x14ac:dyDescent="0.25">
      <c r="A13" s="6" t="str">
        <f t="shared" si="0"/>
        <v> BBS 125 </v>
      </c>
      <c r="B13" s="1" t="str">
        <f t="shared" si="1"/>
        <v>II</v>
      </c>
      <c r="C13" s="6">
        <f t="shared" si="2"/>
        <v>51951.417600000001</v>
      </c>
      <c r="D13" s="4" t="str">
        <f t="shared" si="3"/>
        <v>vis</v>
      </c>
      <c r="E13" s="18">
        <f>VLOOKUP(C13,Active!C$21:E$973,3,FALSE)</f>
        <v>1932.0151554914014</v>
      </c>
      <c r="F13" s="1" t="s">
        <v>74</v>
      </c>
      <c r="G13" s="4" t="str">
        <f t="shared" si="4"/>
        <v>51951.4176</v>
      </c>
      <c r="H13" s="6">
        <f t="shared" si="5"/>
        <v>-11192.5</v>
      </c>
      <c r="I13" s="19" t="s">
        <v>86</v>
      </c>
      <c r="J13" s="20" t="s">
        <v>87</v>
      </c>
      <c r="K13" s="19">
        <v>-11192.5</v>
      </c>
      <c r="L13" s="19" t="s">
        <v>88</v>
      </c>
      <c r="M13" s="20" t="s">
        <v>79</v>
      </c>
      <c r="N13" s="20" t="s">
        <v>80</v>
      </c>
      <c r="O13" s="21" t="s">
        <v>89</v>
      </c>
      <c r="P13" s="21" t="s">
        <v>90</v>
      </c>
    </row>
    <row r="14" spans="1:16" ht="12.75" customHeight="1" thickBot="1" x14ac:dyDescent="0.25">
      <c r="A14" s="6" t="str">
        <f t="shared" si="0"/>
        <v> BBS 125 </v>
      </c>
      <c r="B14" s="1" t="str">
        <f t="shared" si="1"/>
        <v>I</v>
      </c>
      <c r="C14" s="6">
        <f t="shared" si="2"/>
        <v>51951.5965</v>
      </c>
      <c r="D14" s="4" t="str">
        <f t="shared" si="3"/>
        <v>vis</v>
      </c>
      <c r="E14" s="18">
        <f>VLOOKUP(C14,Active!C$21:E$973,3,FALSE)</f>
        <v>1932.5042098587169</v>
      </c>
      <c r="F14" s="1" t="s">
        <v>74</v>
      </c>
      <c r="G14" s="4" t="str">
        <f t="shared" si="4"/>
        <v>51951.5965</v>
      </c>
      <c r="H14" s="6">
        <f t="shared" si="5"/>
        <v>-11192</v>
      </c>
      <c r="I14" s="19" t="s">
        <v>91</v>
      </c>
      <c r="J14" s="20" t="s">
        <v>92</v>
      </c>
      <c r="K14" s="19">
        <v>-11192</v>
      </c>
      <c r="L14" s="19" t="s">
        <v>93</v>
      </c>
      <c r="M14" s="20" t="s">
        <v>79</v>
      </c>
      <c r="N14" s="20" t="s">
        <v>80</v>
      </c>
      <c r="O14" s="21" t="s">
        <v>89</v>
      </c>
      <c r="P14" s="21" t="s">
        <v>90</v>
      </c>
    </row>
    <row r="15" spans="1:16" ht="12.75" customHeight="1" thickBot="1" x14ac:dyDescent="0.25">
      <c r="A15" s="6" t="str">
        <f t="shared" si="0"/>
        <v> BBS 125 </v>
      </c>
      <c r="B15" s="1" t="str">
        <f t="shared" si="1"/>
        <v>II</v>
      </c>
      <c r="C15" s="6">
        <f t="shared" si="2"/>
        <v>51955.437899999997</v>
      </c>
      <c r="D15" s="4" t="str">
        <f t="shared" si="3"/>
        <v>vis</v>
      </c>
      <c r="E15" s="18">
        <f>VLOOKUP(C15,Active!C$21:E$973,3,FALSE)</f>
        <v>1943.0053470673004</v>
      </c>
      <c r="F15" s="1" t="s">
        <v>74</v>
      </c>
      <c r="G15" s="4" t="str">
        <f t="shared" si="4"/>
        <v>51955.4379</v>
      </c>
      <c r="H15" s="6">
        <f t="shared" si="5"/>
        <v>-11181.5</v>
      </c>
      <c r="I15" s="19" t="s">
        <v>94</v>
      </c>
      <c r="J15" s="20" t="s">
        <v>95</v>
      </c>
      <c r="K15" s="19">
        <v>-11181.5</v>
      </c>
      <c r="L15" s="19" t="s">
        <v>96</v>
      </c>
      <c r="M15" s="20" t="s">
        <v>79</v>
      </c>
      <c r="N15" s="20" t="s">
        <v>80</v>
      </c>
      <c r="O15" s="21" t="s">
        <v>89</v>
      </c>
      <c r="P15" s="21" t="s">
        <v>90</v>
      </c>
    </row>
    <row r="16" spans="1:16" ht="12.75" customHeight="1" thickBot="1" x14ac:dyDescent="0.25">
      <c r="A16" s="6" t="str">
        <f t="shared" si="0"/>
        <v> BBS 125 </v>
      </c>
      <c r="B16" s="1" t="str">
        <f t="shared" si="1"/>
        <v>II</v>
      </c>
      <c r="C16" s="6">
        <f t="shared" si="2"/>
        <v>51959.4522</v>
      </c>
      <c r="D16" s="4" t="str">
        <f t="shared" si="3"/>
        <v>vis</v>
      </c>
      <c r="E16" s="18">
        <f>VLOOKUP(C16,Active!C$21:E$973,3,FALSE)</f>
        <v>1953.9791365962406</v>
      </c>
      <c r="F16" s="1" t="s">
        <v>74</v>
      </c>
      <c r="G16" s="4" t="str">
        <f t="shared" si="4"/>
        <v>51959.4522</v>
      </c>
      <c r="H16" s="6">
        <f t="shared" si="5"/>
        <v>-11170.5</v>
      </c>
      <c r="I16" s="19" t="s">
        <v>97</v>
      </c>
      <c r="J16" s="20" t="s">
        <v>98</v>
      </c>
      <c r="K16" s="19">
        <v>-11170.5</v>
      </c>
      <c r="L16" s="19" t="s">
        <v>99</v>
      </c>
      <c r="M16" s="20" t="s">
        <v>79</v>
      </c>
      <c r="N16" s="20" t="s">
        <v>80</v>
      </c>
      <c r="O16" s="21" t="s">
        <v>89</v>
      </c>
      <c r="P16" s="21" t="s">
        <v>90</v>
      </c>
    </row>
    <row r="17" spans="1:16" ht="12.75" customHeight="1" thickBot="1" x14ac:dyDescent="0.25">
      <c r="A17" s="6" t="str">
        <f t="shared" si="0"/>
        <v> BBS 125 </v>
      </c>
      <c r="B17" s="1" t="str">
        <f t="shared" si="1"/>
        <v>I</v>
      </c>
      <c r="C17" s="6">
        <f t="shared" si="2"/>
        <v>51967.328000000001</v>
      </c>
      <c r="D17" s="4" t="str">
        <f t="shared" si="3"/>
        <v>vis</v>
      </c>
      <c r="E17" s="18">
        <f>VLOOKUP(C17,Active!C$21:E$973,3,FALSE)</f>
        <v>1975.5090101911364</v>
      </c>
      <c r="F17" s="1" t="s">
        <v>74</v>
      </c>
      <c r="G17" s="4" t="str">
        <f t="shared" si="4"/>
        <v>51967.328</v>
      </c>
      <c r="H17" s="6">
        <f t="shared" si="5"/>
        <v>-11149</v>
      </c>
      <c r="I17" s="19" t="s">
        <v>100</v>
      </c>
      <c r="J17" s="20" t="s">
        <v>101</v>
      </c>
      <c r="K17" s="19">
        <v>-11149</v>
      </c>
      <c r="L17" s="19" t="s">
        <v>102</v>
      </c>
      <c r="M17" s="20" t="s">
        <v>79</v>
      </c>
      <c r="N17" s="20" t="s">
        <v>80</v>
      </c>
      <c r="O17" s="21" t="s">
        <v>89</v>
      </c>
      <c r="P17" s="21" t="s">
        <v>90</v>
      </c>
    </row>
    <row r="18" spans="1:16" ht="12.75" customHeight="1" thickBot="1" x14ac:dyDescent="0.25">
      <c r="A18" s="6" t="str">
        <f t="shared" si="0"/>
        <v> BBS 125 </v>
      </c>
      <c r="B18" s="1" t="str">
        <f t="shared" si="1"/>
        <v>II</v>
      </c>
      <c r="C18" s="6">
        <f t="shared" si="2"/>
        <v>51967.509400000003</v>
      </c>
      <c r="D18" s="4" t="str">
        <f t="shared" si="3"/>
        <v>vis</v>
      </c>
      <c r="E18" s="18">
        <f>VLOOKUP(C18,Active!C$21:E$973,3,FALSE)</f>
        <v>1976.004898744698</v>
      </c>
      <c r="F18" s="1" t="s">
        <v>74</v>
      </c>
      <c r="G18" s="4" t="str">
        <f t="shared" si="4"/>
        <v>51967.5094</v>
      </c>
      <c r="H18" s="6">
        <f t="shared" si="5"/>
        <v>-11148.5</v>
      </c>
      <c r="I18" s="19" t="s">
        <v>103</v>
      </c>
      <c r="J18" s="20" t="s">
        <v>104</v>
      </c>
      <c r="K18" s="19">
        <v>-11148.5</v>
      </c>
      <c r="L18" s="19" t="s">
        <v>96</v>
      </c>
      <c r="M18" s="20" t="s">
        <v>79</v>
      </c>
      <c r="N18" s="20" t="s">
        <v>80</v>
      </c>
      <c r="O18" s="21" t="s">
        <v>89</v>
      </c>
      <c r="P18" s="21" t="s">
        <v>90</v>
      </c>
    </row>
    <row r="19" spans="1:16" ht="12.75" customHeight="1" thickBot="1" x14ac:dyDescent="0.25">
      <c r="A19" s="6" t="str">
        <f t="shared" si="0"/>
        <v> BBS 125 </v>
      </c>
      <c r="B19" s="1" t="str">
        <f t="shared" si="1"/>
        <v>I</v>
      </c>
      <c r="C19" s="6">
        <f t="shared" si="2"/>
        <v>51984.5213</v>
      </c>
      <c r="D19" s="4" t="str">
        <f t="shared" si="3"/>
        <v>vis</v>
      </c>
      <c r="E19" s="18">
        <f>VLOOKUP(C19,Active!C$21:E$973,3,FALSE)</f>
        <v>2022.5098959016702</v>
      </c>
      <c r="F19" s="1" t="s">
        <v>74</v>
      </c>
      <c r="G19" s="4" t="str">
        <f t="shared" si="4"/>
        <v>51984.5213</v>
      </c>
      <c r="H19" s="6">
        <f t="shared" si="5"/>
        <v>-11102</v>
      </c>
      <c r="I19" s="19" t="s">
        <v>105</v>
      </c>
      <c r="J19" s="20" t="s">
        <v>106</v>
      </c>
      <c r="K19" s="19">
        <v>-11102</v>
      </c>
      <c r="L19" s="19" t="s">
        <v>107</v>
      </c>
      <c r="M19" s="20" t="s">
        <v>79</v>
      </c>
      <c r="N19" s="20" t="s">
        <v>80</v>
      </c>
      <c r="O19" s="21" t="s">
        <v>89</v>
      </c>
      <c r="P19" s="21" t="s">
        <v>90</v>
      </c>
    </row>
    <row r="20" spans="1:16" ht="12.75" customHeight="1" thickBot="1" x14ac:dyDescent="0.25">
      <c r="A20" s="6" t="str">
        <f t="shared" si="0"/>
        <v>IBVS 5149 </v>
      </c>
      <c r="B20" s="1" t="str">
        <f t="shared" si="1"/>
        <v>II</v>
      </c>
      <c r="C20" s="6">
        <f t="shared" si="2"/>
        <v>52045.792600000001</v>
      </c>
      <c r="D20" s="4" t="str">
        <f t="shared" si="3"/>
        <v>vis</v>
      </c>
      <c r="E20" s="18">
        <f>VLOOKUP(C20,Active!C$21:E$973,3,FALSE)</f>
        <v>2190.0056860429477</v>
      </c>
      <c r="F20" s="1" t="s">
        <v>74</v>
      </c>
      <c r="G20" s="4" t="str">
        <f t="shared" si="4"/>
        <v>52045.7926</v>
      </c>
      <c r="H20" s="6">
        <f t="shared" si="5"/>
        <v>-10934.5</v>
      </c>
      <c r="I20" s="19" t="s">
        <v>108</v>
      </c>
      <c r="J20" s="20" t="s">
        <v>109</v>
      </c>
      <c r="K20" s="19">
        <v>-10934.5</v>
      </c>
      <c r="L20" s="19" t="s">
        <v>110</v>
      </c>
      <c r="M20" s="20" t="s">
        <v>79</v>
      </c>
      <c r="N20" s="20" t="s">
        <v>80</v>
      </c>
      <c r="O20" s="21" t="s">
        <v>111</v>
      </c>
      <c r="P20" s="22" t="s">
        <v>112</v>
      </c>
    </row>
    <row r="21" spans="1:16" ht="12.75" customHeight="1" thickBot="1" x14ac:dyDescent="0.25">
      <c r="A21" s="6" t="str">
        <f t="shared" si="0"/>
        <v>IBVS 5149 </v>
      </c>
      <c r="B21" s="1" t="str">
        <f t="shared" si="1"/>
        <v>II</v>
      </c>
      <c r="C21" s="6">
        <f t="shared" si="2"/>
        <v>52052.742599999998</v>
      </c>
      <c r="D21" s="4" t="str">
        <f t="shared" si="3"/>
        <v>vis</v>
      </c>
      <c r="E21" s="18">
        <f>VLOOKUP(C21,Active!C$21:E$973,3,FALSE)</f>
        <v>2209.0047237895169</v>
      </c>
      <c r="F21" s="1" t="s">
        <v>74</v>
      </c>
      <c r="G21" s="4" t="str">
        <f t="shared" si="4"/>
        <v>52052.7426</v>
      </c>
      <c r="H21" s="6">
        <f t="shared" si="5"/>
        <v>-10915.5</v>
      </c>
      <c r="I21" s="19" t="s">
        <v>113</v>
      </c>
      <c r="J21" s="20" t="s">
        <v>114</v>
      </c>
      <c r="K21" s="19">
        <v>-10915.5</v>
      </c>
      <c r="L21" s="19" t="s">
        <v>115</v>
      </c>
      <c r="M21" s="20" t="s">
        <v>79</v>
      </c>
      <c r="N21" s="20" t="s">
        <v>80</v>
      </c>
      <c r="O21" s="21" t="s">
        <v>111</v>
      </c>
      <c r="P21" s="22" t="s">
        <v>112</v>
      </c>
    </row>
    <row r="22" spans="1:16" ht="12.75" customHeight="1" thickBot="1" x14ac:dyDescent="0.25">
      <c r="A22" s="6" t="str">
        <f t="shared" si="0"/>
        <v>IBVS 5149 </v>
      </c>
      <c r="B22" s="1" t="str">
        <f t="shared" si="1"/>
        <v>II</v>
      </c>
      <c r="C22" s="6">
        <f t="shared" si="2"/>
        <v>52053.839800000002</v>
      </c>
      <c r="D22" s="4" t="str">
        <f t="shared" si="3"/>
        <v>vis</v>
      </c>
      <c r="E22" s="18">
        <f>VLOOKUP(C22,Active!C$21:E$973,3,FALSE)</f>
        <v>2212.0041114464402</v>
      </c>
      <c r="F22" s="1" t="s">
        <v>74</v>
      </c>
      <c r="G22" s="4" t="str">
        <f t="shared" si="4"/>
        <v>52053.8398</v>
      </c>
      <c r="H22" s="6">
        <f t="shared" si="5"/>
        <v>-10912.5</v>
      </c>
      <c r="I22" s="19" t="s">
        <v>116</v>
      </c>
      <c r="J22" s="20" t="s">
        <v>117</v>
      </c>
      <c r="K22" s="19">
        <v>-10912.5</v>
      </c>
      <c r="L22" s="19" t="s">
        <v>118</v>
      </c>
      <c r="M22" s="20" t="s">
        <v>79</v>
      </c>
      <c r="N22" s="20" t="s">
        <v>80</v>
      </c>
      <c r="O22" s="21" t="s">
        <v>111</v>
      </c>
      <c r="P22" s="22" t="s">
        <v>112</v>
      </c>
    </row>
    <row r="23" spans="1:16" ht="12.75" customHeight="1" thickBot="1" x14ac:dyDescent="0.25">
      <c r="A23" s="6" t="str">
        <f t="shared" si="0"/>
        <v>IBVS 5149 </v>
      </c>
      <c r="B23" s="1" t="str">
        <f t="shared" si="1"/>
        <v>I</v>
      </c>
      <c r="C23" s="6">
        <f t="shared" si="2"/>
        <v>52054.756099999999</v>
      </c>
      <c r="D23" s="4" t="str">
        <f t="shared" si="3"/>
        <v>vis</v>
      </c>
      <c r="E23" s="18">
        <f>VLOOKUP(C23,Active!C$21:E$973,3,FALSE)</f>
        <v>2214.508977387035</v>
      </c>
      <c r="F23" s="1" t="s">
        <v>74</v>
      </c>
      <c r="G23" s="4" t="str">
        <f t="shared" si="4"/>
        <v>52054.7561</v>
      </c>
      <c r="H23" s="6">
        <f t="shared" si="5"/>
        <v>-10910</v>
      </c>
      <c r="I23" s="19" t="s">
        <v>119</v>
      </c>
      <c r="J23" s="20" t="s">
        <v>120</v>
      </c>
      <c r="K23" s="19">
        <v>-10910</v>
      </c>
      <c r="L23" s="19" t="s">
        <v>121</v>
      </c>
      <c r="M23" s="20" t="s">
        <v>79</v>
      </c>
      <c r="N23" s="20" t="s">
        <v>80</v>
      </c>
      <c r="O23" s="21" t="s">
        <v>111</v>
      </c>
      <c r="P23" s="22" t="s">
        <v>112</v>
      </c>
    </row>
    <row r="24" spans="1:16" ht="12.75" customHeight="1" thickBot="1" x14ac:dyDescent="0.25">
      <c r="A24" s="6" t="str">
        <f t="shared" si="0"/>
        <v> BBS 129 </v>
      </c>
      <c r="B24" s="1" t="str">
        <f t="shared" si="1"/>
        <v>II</v>
      </c>
      <c r="C24" s="6">
        <f t="shared" si="2"/>
        <v>52691.437599999997</v>
      </c>
      <c r="D24" s="4" t="str">
        <f t="shared" si="3"/>
        <v>vis</v>
      </c>
      <c r="E24" s="18">
        <f>VLOOKUP(C24,Active!C$21:E$973,3,FALSE)</f>
        <v>3954.9889559550238</v>
      </c>
      <c r="F24" s="1" t="s">
        <v>74</v>
      </c>
      <c r="G24" s="4" t="str">
        <f t="shared" si="4"/>
        <v>52691.4376</v>
      </c>
      <c r="H24" s="6">
        <f t="shared" si="5"/>
        <v>-9169.5</v>
      </c>
      <c r="I24" s="19" t="s">
        <v>126</v>
      </c>
      <c r="J24" s="20" t="s">
        <v>127</v>
      </c>
      <c r="K24" s="19">
        <v>-9169.5</v>
      </c>
      <c r="L24" s="19" t="s">
        <v>128</v>
      </c>
      <c r="M24" s="20" t="s">
        <v>79</v>
      </c>
      <c r="N24" s="20" t="s">
        <v>80</v>
      </c>
      <c r="O24" s="21" t="s">
        <v>89</v>
      </c>
      <c r="P24" s="21" t="s">
        <v>129</v>
      </c>
    </row>
    <row r="25" spans="1:16" ht="12.75" customHeight="1" thickBot="1" x14ac:dyDescent="0.25">
      <c r="A25" s="6" t="str">
        <f t="shared" si="0"/>
        <v> BBS 129 </v>
      </c>
      <c r="B25" s="1" t="str">
        <f t="shared" si="1"/>
        <v>I</v>
      </c>
      <c r="C25" s="6">
        <f t="shared" si="2"/>
        <v>52691.625</v>
      </c>
      <c r="D25" s="4" t="str">
        <f t="shared" si="3"/>
        <v>vis</v>
      </c>
      <c r="E25" s="18">
        <f>VLOOKUP(C25,Active!C$21:E$973,3,FALSE)</f>
        <v>3955.5012465555642</v>
      </c>
      <c r="F25" s="1" t="s">
        <v>74</v>
      </c>
      <c r="G25" s="4" t="str">
        <f t="shared" si="4"/>
        <v>52691.625</v>
      </c>
      <c r="H25" s="6">
        <f t="shared" si="5"/>
        <v>-9169</v>
      </c>
      <c r="I25" s="19" t="s">
        <v>130</v>
      </c>
      <c r="J25" s="20" t="s">
        <v>131</v>
      </c>
      <c r="K25" s="19">
        <v>-9169</v>
      </c>
      <c r="L25" s="19" t="s">
        <v>132</v>
      </c>
      <c r="M25" s="20" t="s">
        <v>79</v>
      </c>
      <c r="N25" s="20" t="s">
        <v>80</v>
      </c>
      <c r="O25" s="21" t="s">
        <v>89</v>
      </c>
      <c r="P25" s="21" t="s">
        <v>129</v>
      </c>
    </row>
    <row r="26" spans="1:16" ht="12.75" customHeight="1" thickBot="1" x14ac:dyDescent="0.25">
      <c r="A26" s="6" t="str">
        <f t="shared" si="0"/>
        <v> BBS 130 </v>
      </c>
      <c r="B26" s="1" t="str">
        <f t="shared" si="1"/>
        <v>I</v>
      </c>
      <c r="C26" s="6">
        <f t="shared" si="2"/>
        <v>53068.403299999998</v>
      </c>
      <c r="D26" s="4" t="str">
        <f t="shared" si="3"/>
        <v>vis</v>
      </c>
      <c r="E26" s="18">
        <f>VLOOKUP(C26,Active!C$21:E$973,3,FALSE)</f>
        <v>4985.4904758780449</v>
      </c>
      <c r="F26" s="1" t="s">
        <v>74</v>
      </c>
      <c r="G26" s="4" t="str">
        <f t="shared" si="4"/>
        <v>53068.4033</v>
      </c>
      <c r="H26" s="6">
        <f t="shared" si="5"/>
        <v>-8139</v>
      </c>
      <c r="I26" s="19" t="s">
        <v>133</v>
      </c>
      <c r="J26" s="20" t="s">
        <v>134</v>
      </c>
      <c r="K26" s="19">
        <v>-8139</v>
      </c>
      <c r="L26" s="19" t="s">
        <v>135</v>
      </c>
      <c r="M26" s="20" t="s">
        <v>79</v>
      </c>
      <c r="N26" s="20" t="s">
        <v>80</v>
      </c>
      <c r="O26" s="21" t="s">
        <v>89</v>
      </c>
      <c r="P26" s="21" t="s">
        <v>136</v>
      </c>
    </row>
    <row r="27" spans="1:16" ht="12.75" customHeight="1" thickBot="1" x14ac:dyDescent="0.25">
      <c r="A27" s="6" t="str">
        <f t="shared" si="0"/>
        <v>IBVS 5672 </v>
      </c>
      <c r="B27" s="1" t="str">
        <f t="shared" si="1"/>
        <v>I</v>
      </c>
      <c r="C27" s="6">
        <f t="shared" si="2"/>
        <v>53417.751700000001</v>
      </c>
      <c r="D27" s="4" t="str">
        <f t="shared" si="3"/>
        <v>vis</v>
      </c>
      <c r="E27" s="18">
        <f>VLOOKUP(C27,Active!C$21:E$973,3,FALSE)</f>
        <v>5940.4952871451651</v>
      </c>
      <c r="F27" s="1" t="s">
        <v>74</v>
      </c>
      <c r="G27" s="4" t="str">
        <f t="shared" si="4"/>
        <v>53417.7517</v>
      </c>
      <c r="H27" s="6">
        <f t="shared" si="5"/>
        <v>-7184</v>
      </c>
      <c r="I27" s="19" t="s">
        <v>137</v>
      </c>
      <c r="J27" s="20" t="s">
        <v>138</v>
      </c>
      <c r="K27" s="19">
        <v>-7184</v>
      </c>
      <c r="L27" s="19" t="s">
        <v>139</v>
      </c>
      <c r="M27" s="20" t="s">
        <v>79</v>
      </c>
      <c r="N27" s="20" t="s">
        <v>80</v>
      </c>
      <c r="O27" s="21" t="s">
        <v>140</v>
      </c>
      <c r="P27" s="22" t="s">
        <v>141</v>
      </c>
    </row>
    <row r="28" spans="1:16" ht="12.75" customHeight="1" thickBot="1" x14ac:dyDescent="0.25">
      <c r="A28" s="6" t="str">
        <f t="shared" si="0"/>
        <v>IBVS 5672 </v>
      </c>
      <c r="B28" s="1" t="str">
        <f t="shared" si="1"/>
        <v>I</v>
      </c>
      <c r="C28" s="6">
        <f t="shared" si="2"/>
        <v>53437.87</v>
      </c>
      <c r="D28" s="4" t="str">
        <f t="shared" si="3"/>
        <v>vis</v>
      </c>
      <c r="E28" s="18">
        <f>VLOOKUP(C28,Active!C$21:E$973,3,FALSE)</f>
        <v>5995.4921707562444</v>
      </c>
      <c r="F28" s="1" t="s">
        <v>74</v>
      </c>
      <c r="G28" s="4" t="str">
        <f t="shared" si="4"/>
        <v>53437.870</v>
      </c>
      <c r="H28" s="6">
        <f t="shared" si="5"/>
        <v>-7129</v>
      </c>
      <c r="I28" s="19" t="s">
        <v>142</v>
      </c>
      <c r="J28" s="20" t="s">
        <v>143</v>
      </c>
      <c r="K28" s="19">
        <v>-7129</v>
      </c>
      <c r="L28" s="19" t="s">
        <v>124</v>
      </c>
      <c r="M28" s="20" t="s">
        <v>79</v>
      </c>
      <c r="N28" s="20" t="s">
        <v>80</v>
      </c>
      <c r="O28" s="21" t="s">
        <v>140</v>
      </c>
      <c r="P28" s="22" t="s">
        <v>141</v>
      </c>
    </row>
    <row r="29" spans="1:16" ht="12.75" customHeight="1" thickBot="1" x14ac:dyDescent="0.25">
      <c r="A29" s="6" t="str">
        <f t="shared" si="0"/>
        <v>IBVS 5653 </v>
      </c>
      <c r="B29" s="1" t="str">
        <f t="shared" si="1"/>
        <v>II</v>
      </c>
      <c r="C29" s="6">
        <f t="shared" si="2"/>
        <v>53464.392</v>
      </c>
      <c r="D29" s="4" t="str">
        <f t="shared" si="3"/>
        <v>vis</v>
      </c>
      <c r="E29" s="18">
        <f>VLOOKUP(C29,Active!C$21:E$973,3,FALSE)</f>
        <v>6067.9946857367731</v>
      </c>
      <c r="F29" s="1" t="s">
        <v>74</v>
      </c>
      <c r="G29" s="4" t="str">
        <f t="shared" si="4"/>
        <v>53464.3920</v>
      </c>
      <c r="H29" s="6">
        <f t="shared" si="5"/>
        <v>-7056.5</v>
      </c>
      <c r="I29" s="19" t="s">
        <v>144</v>
      </c>
      <c r="J29" s="20" t="s">
        <v>145</v>
      </c>
      <c r="K29" s="19">
        <v>-7056.5</v>
      </c>
      <c r="L29" s="19" t="s">
        <v>146</v>
      </c>
      <c r="M29" s="20" t="s">
        <v>79</v>
      </c>
      <c r="N29" s="20" t="s">
        <v>80</v>
      </c>
      <c r="O29" s="21" t="s">
        <v>89</v>
      </c>
      <c r="P29" s="22" t="s">
        <v>147</v>
      </c>
    </row>
    <row r="30" spans="1:16" ht="12.75" customHeight="1" thickBot="1" x14ac:dyDescent="0.25">
      <c r="A30" s="6" t="str">
        <f t="shared" si="0"/>
        <v>IBVS 5713 </v>
      </c>
      <c r="B30" s="1" t="str">
        <f t="shared" si="1"/>
        <v>II</v>
      </c>
      <c r="C30" s="6">
        <f t="shared" si="2"/>
        <v>53788.489200000004</v>
      </c>
      <c r="D30" s="4" t="str">
        <f t="shared" si="3"/>
        <v>vis</v>
      </c>
      <c r="E30" s="18">
        <f>VLOOKUP(C30,Active!C$21:E$973,3,FALSE)</f>
        <v>6953.9709355727637</v>
      </c>
      <c r="F30" s="1" t="s">
        <v>74</v>
      </c>
      <c r="G30" s="4" t="str">
        <f t="shared" si="4"/>
        <v>53788.4892</v>
      </c>
      <c r="H30" s="6">
        <f t="shared" si="5"/>
        <v>-6170.5</v>
      </c>
      <c r="I30" s="19" t="s">
        <v>148</v>
      </c>
      <c r="J30" s="20" t="s">
        <v>149</v>
      </c>
      <c r="K30" s="19">
        <v>-6170.5</v>
      </c>
      <c r="L30" s="19" t="s">
        <v>150</v>
      </c>
      <c r="M30" s="20" t="s">
        <v>79</v>
      </c>
      <c r="N30" s="20" t="s">
        <v>80</v>
      </c>
      <c r="O30" s="21" t="s">
        <v>89</v>
      </c>
      <c r="P30" s="22" t="s">
        <v>151</v>
      </c>
    </row>
    <row r="31" spans="1:16" ht="12.75" customHeight="1" thickBot="1" x14ac:dyDescent="0.25">
      <c r="A31" s="6" t="str">
        <f t="shared" si="0"/>
        <v> BBS 133 (=IBVS 5781) </v>
      </c>
      <c r="B31" s="1" t="str">
        <f t="shared" si="1"/>
        <v>II</v>
      </c>
      <c r="C31" s="6">
        <f t="shared" si="2"/>
        <v>54170.3917</v>
      </c>
      <c r="D31" s="4" t="str">
        <f t="shared" si="3"/>
        <v>vis</v>
      </c>
      <c r="E31" s="18">
        <f>VLOOKUP(C31,Active!C$21:E$973,3,FALSE)</f>
        <v>7997.9680597471843</v>
      </c>
      <c r="F31" s="1" t="s">
        <v>74</v>
      </c>
      <c r="G31" s="4" t="str">
        <f t="shared" si="4"/>
        <v>54170.3917</v>
      </c>
      <c r="H31" s="6">
        <f t="shared" si="5"/>
        <v>-5126.5</v>
      </c>
      <c r="I31" s="19" t="s">
        <v>159</v>
      </c>
      <c r="J31" s="20" t="s">
        <v>160</v>
      </c>
      <c r="K31" s="19">
        <v>-5126.5</v>
      </c>
      <c r="L31" s="19" t="s">
        <v>161</v>
      </c>
      <c r="M31" s="20" t="s">
        <v>155</v>
      </c>
      <c r="N31" s="20" t="s">
        <v>162</v>
      </c>
      <c r="O31" s="21" t="s">
        <v>89</v>
      </c>
      <c r="P31" s="21" t="s">
        <v>163</v>
      </c>
    </row>
    <row r="32" spans="1:16" ht="12.75" customHeight="1" thickBot="1" x14ac:dyDescent="0.25">
      <c r="A32" s="6" t="str">
        <f t="shared" si="0"/>
        <v>BAVM 201 </v>
      </c>
      <c r="B32" s="1" t="str">
        <f t="shared" si="1"/>
        <v>I</v>
      </c>
      <c r="C32" s="6">
        <f t="shared" si="2"/>
        <v>54172.4041</v>
      </c>
      <c r="D32" s="4" t="str">
        <f t="shared" si="3"/>
        <v>vis</v>
      </c>
      <c r="E32" s="18">
        <f>VLOOKUP(C32,Active!C$21:E$973,3,FALSE)</f>
        <v>8003.4693063027526</v>
      </c>
      <c r="F32" s="1" t="s">
        <v>74</v>
      </c>
      <c r="G32" s="4" t="str">
        <f t="shared" si="4"/>
        <v>54172.4041</v>
      </c>
      <c r="H32" s="6">
        <f t="shared" si="5"/>
        <v>-5121</v>
      </c>
      <c r="I32" s="19" t="s">
        <v>164</v>
      </c>
      <c r="J32" s="20" t="s">
        <v>165</v>
      </c>
      <c r="K32" s="19">
        <v>-5121</v>
      </c>
      <c r="L32" s="19" t="s">
        <v>166</v>
      </c>
      <c r="M32" s="20" t="s">
        <v>155</v>
      </c>
      <c r="N32" s="20" t="s">
        <v>167</v>
      </c>
      <c r="O32" s="21" t="s">
        <v>168</v>
      </c>
      <c r="P32" s="22" t="s">
        <v>169</v>
      </c>
    </row>
    <row r="33" spans="1:16" ht="12.75" customHeight="1" thickBot="1" x14ac:dyDescent="0.25">
      <c r="A33" s="6" t="str">
        <f t="shared" si="0"/>
        <v>IBVS 5820 </v>
      </c>
      <c r="B33" s="1" t="str">
        <f t="shared" si="1"/>
        <v>I</v>
      </c>
      <c r="C33" s="6">
        <f t="shared" si="2"/>
        <v>54187.767899999999</v>
      </c>
      <c r="D33" s="4" t="str">
        <f t="shared" si="3"/>
        <v>vis</v>
      </c>
      <c r="E33" s="18">
        <f>VLOOKUP(C33,Active!C$21:E$973,3,FALSE)</f>
        <v>8045.468934523019</v>
      </c>
      <c r="F33" s="1" t="s">
        <v>74</v>
      </c>
      <c r="G33" s="4" t="str">
        <f t="shared" si="4"/>
        <v>54187.7679</v>
      </c>
      <c r="H33" s="6">
        <f t="shared" si="5"/>
        <v>-5079</v>
      </c>
      <c r="I33" s="19" t="s">
        <v>170</v>
      </c>
      <c r="J33" s="20" t="s">
        <v>171</v>
      </c>
      <c r="K33" s="19" t="s">
        <v>172</v>
      </c>
      <c r="L33" s="19" t="s">
        <v>166</v>
      </c>
      <c r="M33" s="20" t="s">
        <v>155</v>
      </c>
      <c r="N33" s="20" t="s">
        <v>173</v>
      </c>
      <c r="O33" s="21" t="s">
        <v>140</v>
      </c>
      <c r="P33" s="22" t="s">
        <v>174</v>
      </c>
    </row>
    <row r="34" spans="1:16" ht="12.75" customHeight="1" thickBot="1" x14ac:dyDescent="0.25">
      <c r="A34" s="6" t="str">
        <f t="shared" si="0"/>
        <v>BAVM 186 </v>
      </c>
      <c r="B34" s="1" t="str">
        <f t="shared" si="1"/>
        <v>II</v>
      </c>
      <c r="C34" s="6">
        <f t="shared" si="2"/>
        <v>54205.508800000003</v>
      </c>
      <c r="D34" s="4" t="str">
        <f t="shared" si="3"/>
        <v>vis</v>
      </c>
      <c r="E34" s="18">
        <f>VLOOKUP(C34,Active!C$21:E$973,3,FALSE)</f>
        <v>8093.9667803875282</v>
      </c>
      <c r="F34" s="1" t="s">
        <v>74</v>
      </c>
      <c r="G34" s="4" t="str">
        <f t="shared" si="4"/>
        <v>54205.5088</v>
      </c>
      <c r="H34" s="6">
        <f t="shared" si="5"/>
        <v>-5030.5</v>
      </c>
      <c r="I34" s="19" t="s">
        <v>175</v>
      </c>
      <c r="J34" s="20" t="s">
        <v>176</v>
      </c>
      <c r="K34" s="19" t="s">
        <v>177</v>
      </c>
      <c r="L34" s="19" t="s">
        <v>178</v>
      </c>
      <c r="M34" s="20" t="s">
        <v>155</v>
      </c>
      <c r="N34" s="20" t="s">
        <v>167</v>
      </c>
      <c r="O34" s="21" t="s">
        <v>179</v>
      </c>
      <c r="P34" s="22" t="s">
        <v>180</v>
      </c>
    </row>
    <row r="35" spans="1:16" ht="12.75" customHeight="1" thickBot="1" x14ac:dyDescent="0.25">
      <c r="A35" s="6" t="str">
        <f t="shared" si="0"/>
        <v>IBVS 5875 </v>
      </c>
      <c r="B35" s="1" t="str">
        <f t="shared" si="1"/>
        <v>I</v>
      </c>
      <c r="C35" s="6">
        <f t="shared" si="2"/>
        <v>54555.769399999997</v>
      </c>
      <c r="D35" s="4" t="str">
        <f t="shared" si="3"/>
        <v>vis</v>
      </c>
      <c r="E35" s="18">
        <f>VLOOKUP(C35,Active!C$21:E$973,3,FALSE)</f>
        <v>9051.4652495297942</v>
      </c>
      <c r="F35" s="1" t="s">
        <v>74</v>
      </c>
      <c r="G35" s="4" t="str">
        <f t="shared" si="4"/>
        <v>54555.7694</v>
      </c>
      <c r="H35" s="6">
        <f t="shared" si="5"/>
        <v>-4073</v>
      </c>
      <c r="I35" s="19" t="s">
        <v>181</v>
      </c>
      <c r="J35" s="20" t="s">
        <v>182</v>
      </c>
      <c r="K35" s="19" t="s">
        <v>183</v>
      </c>
      <c r="L35" s="19" t="s">
        <v>184</v>
      </c>
      <c r="M35" s="20" t="s">
        <v>155</v>
      </c>
      <c r="N35" s="20" t="s">
        <v>67</v>
      </c>
      <c r="O35" s="21" t="s">
        <v>140</v>
      </c>
      <c r="P35" s="22" t="s">
        <v>185</v>
      </c>
    </row>
    <row r="36" spans="1:16" ht="12.75" customHeight="1" thickBot="1" x14ac:dyDescent="0.25">
      <c r="A36" s="6" t="str">
        <f t="shared" si="0"/>
        <v>IBVS 5837 </v>
      </c>
      <c r="B36" s="1" t="str">
        <f t="shared" si="1"/>
        <v>II</v>
      </c>
      <c r="C36" s="6">
        <f t="shared" si="2"/>
        <v>54564.364200000004</v>
      </c>
      <c r="D36" s="4" t="str">
        <f t="shared" si="3"/>
        <v>vis</v>
      </c>
      <c r="E36" s="18">
        <f>VLOOKUP(C36,Active!C$21:E$973,3,FALSE)</f>
        <v>9074.9606350872618</v>
      </c>
      <c r="F36" s="1" t="s">
        <v>74</v>
      </c>
      <c r="G36" s="4" t="str">
        <f t="shared" si="4"/>
        <v>54564.3642</v>
      </c>
      <c r="H36" s="6">
        <f t="shared" si="5"/>
        <v>-4049.5</v>
      </c>
      <c r="I36" s="19" t="s">
        <v>186</v>
      </c>
      <c r="J36" s="20" t="s">
        <v>187</v>
      </c>
      <c r="K36" s="19" t="s">
        <v>188</v>
      </c>
      <c r="L36" s="19" t="s">
        <v>189</v>
      </c>
      <c r="M36" s="20" t="s">
        <v>155</v>
      </c>
      <c r="N36" s="20" t="s">
        <v>67</v>
      </c>
      <c r="O36" s="21" t="s">
        <v>89</v>
      </c>
      <c r="P36" s="22" t="s">
        <v>190</v>
      </c>
    </row>
    <row r="37" spans="1:16" ht="12.75" customHeight="1" thickBot="1" x14ac:dyDescent="0.25">
      <c r="A37" s="6" t="str">
        <f t="shared" si="0"/>
        <v>IBVS 5894 </v>
      </c>
      <c r="B37" s="1" t="str">
        <f t="shared" si="1"/>
        <v>II</v>
      </c>
      <c r="C37" s="6">
        <f t="shared" si="2"/>
        <v>54881.883399999999</v>
      </c>
      <c r="D37" s="4" t="str">
        <f t="shared" si="3"/>
        <v>vis</v>
      </c>
      <c r="E37" s="18">
        <f>VLOOKUP(C37,Active!C$21:E$973,3,FALSE)</f>
        <v>9942.9547740891303</v>
      </c>
      <c r="F37" s="1" t="s">
        <v>74</v>
      </c>
      <c r="G37" s="4" t="str">
        <f t="shared" si="4"/>
        <v>54881.8834</v>
      </c>
      <c r="H37" s="6">
        <f t="shared" si="5"/>
        <v>-3181.5</v>
      </c>
      <c r="I37" s="19" t="s">
        <v>191</v>
      </c>
      <c r="J37" s="20" t="s">
        <v>192</v>
      </c>
      <c r="K37" s="19" t="s">
        <v>193</v>
      </c>
      <c r="L37" s="19" t="s">
        <v>194</v>
      </c>
      <c r="M37" s="20" t="s">
        <v>155</v>
      </c>
      <c r="N37" s="20" t="s">
        <v>74</v>
      </c>
      <c r="O37" s="21" t="s">
        <v>195</v>
      </c>
      <c r="P37" s="22" t="s">
        <v>196</v>
      </c>
    </row>
    <row r="38" spans="1:16" ht="12.75" customHeight="1" thickBot="1" x14ac:dyDescent="0.25">
      <c r="A38" s="6" t="str">
        <f t="shared" si="0"/>
        <v>IBVS 5894 </v>
      </c>
      <c r="B38" s="1" t="str">
        <f t="shared" si="1"/>
        <v>II</v>
      </c>
      <c r="C38" s="6">
        <f t="shared" si="2"/>
        <v>54996.381399999998</v>
      </c>
      <c r="D38" s="4" t="str">
        <f t="shared" si="3"/>
        <v>vis</v>
      </c>
      <c r="E38" s="18">
        <f>VLOOKUP(C38,Active!C$21:E$973,3,FALSE)</f>
        <v>10255.95503652188</v>
      </c>
      <c r="F38" s="1" t="s">
        <v>74</v>
      </c>
      <c r="G38" s="4" t="str">
        <f t="shared" si="4"/>
        <v>54996.3814</v>
      </c>
      <c r="H38" s="6">
        <f t="shared" si="5"/>
        <v>-2868.5</v>
      </c>
      <c r="I38" s="19" t="s">
        <v>197</v>
      </c>
      <c r="J38" s="20" t="s">
        <v>198</v>
      </c>
      <c r="K38" s="19" t="s">
        <v>199</v>
      </c>
      <c r="L38" s="19" t="s">
        <v>200</v>
      </c>
      <c r="M38" s="20" t="s">
        <v>155</v>
      </c>
      <c r="N38" s="20" t="s">
        <v>67</v>
      </c>
      <c r="O38" s="21" t="s">
        <v>89</v>
      </c>
      <c r="P38" s="22" t="s">
        <v>196</v>
      </c>
    </row>
    <row r="39" spans="1:16" ht="12.75" customHeight="1" thickBot="1" x14ac:dyDescent="0.25">
      <c r="A39" s="6" t="str">
        <f t="shared" si="0"/>
        <v>IBVS 5945 </v>
      </c>
      <c r="B39" s="1" t="str">
        <f t="shared" si="1"/>
        <v>II</v>
      </c>
      <c r="C39" s="6">
        <f t="shared" si="2"/>
        <v>55290.856899999999</v>
      </c>
      <c r="D39" s="4" t="str">
        <f t="shared" si="3"/>
        <v>vis</v>
      </c>
      <c r="E39" s="18">
        <f>VLOOKUP(C39,Active!C$21:E$973,3,FALSE)</f>
        <v>11060.955200542352</v>
      </c>
      <c r="F39" s="1" t="s">
        <v>74</v>
      </c>
      <c r="G39" s="4" t="str">
        <f t="shared" si="4"/>
        <v>55290.8569</v>
      </c>
      <c r="H39" s="6">
        <f t="shared" si="5"/>
        <v>-2063.5</v>
      </c>
      <c r="I39" s="19" t="s">
        <v>201</v>
      </c>
      <c r="J39" s="20" t="s">
        <v>202</v>
      </c>
      <c r="K39" s="19" t="s">
        <v>203</v>
      </c>
      <c r="L39" s="19" t="s">
        <v>204</v>
      </c>
      <c r="M39" s="20" t="s">
        <v>155</v>
      </c>
      <c r="N39" s="20" t="s">
        <v>74</v>
      </c>
      <c r="O39" s="21" t="s">
        <v>195</v>
      </c>
      <c r="P39" s="22" t="s">
        <v>205</v>
      </c>
    </row>
    <row r="40" spans="1:16" ht="12.75" customHeight="1" thickBot="1" x14ac:dyDescent="0.25">
      <c r="A40" s="6" t="str">
        <f t="shared" si="0"/>
        <v>IBVS 5992 </v>
      </c>
      <c r="B40" s="1" t="str">
        <f t="shared" si="1"/>
        <v>II</v>
      </c>
      <c r="C40" s="6">
        <f t="shared" si="2"/>
        <v>55617.883099999999</v>
      </c>
      <c r="D40" s="4" t="str">
        <f t="shared" si="3"/>
        <v>vis</v>
      </c>
      <c r="E40" s="18">
        <f>VLOOKUP(C40,Active!C$21:E$973,3,FALSE)</f>
        <v>11954.938382976854</v>
      </c>
      <c r="F40" s="1" t="s">
        <v>74</v>
      </c>
      <c r="G40" s="4" t="str">
        <f t="shared" si="4"/>
        <v>55617.8831</v>
      </c>
      <c r="H40" s="6">
        <f t="shared" si="5"/>
        <v>-1169.5</v>
      </c>
      <c r="I40" s="19" t="s">
        <v>206</v>
      </c>
      <c r="J40" s="20" t="s">
        <v>207</v>
      </c>
      <c r="K40" s="19" t="s">
        <v>208</v>
      </c>
      <c r="L40" s="19" t="s">
        <v>88</v>
      </c>
      <c r="M40" s="20" t="s">
        <v>155</v>
      </c>
      <c r="N40" s="20" t="s">
        <v>74</v>
      </c>
      <c r="O40" s="21" t="s">
        <v>195</v>
      </c>
      <c r="P40" s="22" t="s">
        <v>209</v>
      </c>
    </row>
    <row r="41" spans="1:16" ht="12.75" customHeight="1" thickBot="1" x14ac:dyDescent="0.25">
      <c r="A41" s="6" t="str">
        <f t="shared" si="0"/>
        <v>BAVM 220 </v>
      </c>
      <c r="B41" s="1" t="str">
        <f t="shared" si="1"/>
        <v>II</v>
      </c>
      <c r="C41" s="6">
        <f t="shared" si="2"/>
        <v>55669.4614</v>
      </c>
      <c r="D41" s="4" t="str">
        <f t="shared" si="3"/>
        <v>vis</v>
      </c>
      <c r="E41" s="18">
        <f>VLOOKUP(C41,Active!C$21:E$973,3,FALSE)</f>
        <v>12095.936666229272</v>
      </c>
      <c r="F41" s="1" t="s">
        <v>74</v>
      </c>
      <c r="G41" s="4" t="str">
        <f t="shared" si="4"/>
        <v>55669.4614</v>
      </c>
      <c r="H41" s="6">
        <f t="shared" si="5"/>
        <v>-1028.5</v>
      </c>
      <c r="I41" s="19" t="s">
        <v>210</v>
      </c>
      <c r="J41" s="20" t="s">
        <v>211</v>
      </c>
      <c r="K41" s="19" t="s">
        <v>212</v>
      </c>
      <c r="L41" s="19" t="s">
        <v>213</v>
      </c>
      <c r="M41" s="20" t="s">
        <v>155</v>
      </c>
      <c r="N41" s="20" t="s">
        <v>167</v>
      </c>
      <c r="O41" s="21" t="s">
        <v>179</v>
      </c>
      <c r="P41" s="22" t="s">
        <v>214</v>
      </c>
    </row>
    <row r="42" spans="1:16" ht="12.75" customHeight="1" thickBot="1" x14ac:dyDescent="0.25">
      <c r="A42" s="6" t="str">
        <f t="shared" si="0"/>
        <v>IBVS 6029 </v>
      </c>
      <c r="B42" s="1" t="str">
        <f t="shared" si="1"/>
        <v>I</v>
      </c>
      <c r="C42" s="6">
        <f t="shared" si="2"/>
        <v>55968.873899999999</v>
      </c>
      <c r="D42" s="4" t="str">
        <f t="shared" si="3"/>
        <v>vis</v>
      </c>
      <c r="E42" s="18">
        <f>VLOOKUP(C42,Active!C$21:E$973,3,FALSE)</f>
        <v>12914.432981236048</v>
      </c>
      <c r="F42" s="1" t="s">
        <v>74</v>
      </c>
      <c r="G42" s="4" t="str">
        <f t="shared" si="4"/>
        <v>55968.8739</v>
      </c>
      <c r="H42" s="6">
        <f t="shared" si="5"/>
        <v>-210</v>
      </c>
      <c r="I42" s="19" t="s">
        <v>215</v>
      </c>
      <c r="J42" s="20" t="s">
        <v>216</v>
      </c>
      <c r="K42" s="19" t="s">
        <v>217</v>
      </c>
      <c r="L42" s="19" t="s">
        <v>218</v>
      </c>
      <c r="M42" s="20" t="s">
        <v>155</v>
      </c>
      <c r="N42" s="20" t="s">
        <v>74</v>
      </c>
      <c r="O42" s="21" t="s">
        <v>195</v>
      </c>
      <c r="P42" s="22" t="s">
        <v>219</v>
      </c>
    </row>
    <row r="43" spans="1:16" ht="12.75" customHeight="1" thickBot="1" x14ac:dyDescent="0.25">
      <c r="A43" s="6" t="str">
        <f t="shared" si="0"/>
        <v>OEJV 0160 </v>
      </c>
      <c r="B43" s="1" t="str">
        <f t="shared" si="1"/>
        <v>II</v>
      </c>
      <c r="C43" s="6">
        <f t="shared" si="2"/>
        <v>56007.464540000001</v>
      </c>
      <c r="D43" s="4" t="str">
        <f t="shared" si="3"/>
        <v>vis</v>
      </c>
      <c r="E43" s="18">
        <f>VLOOKUP(C43,Active!C$21:E$973,3,FALSE)</f>
        <v>13019.927229584915</v>
      </c>
      <c r="F43" s="1" t="s">
        <v>74</v>
      </c>
      <c r="G43" s="4" t="str">
        <f t="shared" si="4"/>
        <v>56007.46454</v>
      </c>
      <c r="H43" s="6">
        <f t="shared" si="5"/>
        <v>-104.5</v>
      </c>
      <c r="I43" s="19" t="s">
        <v>220</v>
      </c>
      <c r="J43" s="20" t="s">
        <v>221</v>
      </c>
      <c r="K43" s="19" t="s">
        <v>222</v>
      </c>
      <c r="L43" s="19" t="s">
        <v>223</v>
      </c>
      <c r="M43" s="20" t="s">
        <v>155</v>
      </c>
      <c r="N43" s="20" t="s">
        <v>67</v>
      </c>
      <c r="O43" s="21" t="s">
        <v>224</v>
      </c>
      <c r="P43" s="22" t="s">
        <v>225</v>
      </c>
    </row>
    <row r="44" spans="1:16" ht="12.75" customHeight="1" thickBot="1" x14ac:dyDescent="0.25">
      <c r="A44" s="6" t="str">
        <f t="shared" si="0"/>
        <v>IBVS 6029 </v>
      </c>
      <c r="B44" s="1" t="str">
        <f t="shared" si="1"/>
        <v>I</v>
      </c>
      <c r="C44" s="6">
        <f t="shared" si="2"/>
        <v>56045.691299999999</v>
      </c>
      <c r="D44" s="4" t="str">
        <f t="shared" si="3"/>
        <v>vis</v>
      </c>
      <c r="E44" s="18">
        <f>VLOOKUP(C44,Active!C$21:E$973,3,FALSE)</f>
        <v>13124.426748458198</v>
      </c>
      <c r="F44" s="1" t="s">
        <v>74</v>
      </c>
      <c r="G44" s="4" t="str">
        <f t="shared" si="4"/>
        <v>56045.6913</v>
      </c>
      <c r="H44" s="6">
        <f t="shared" si="5"/>
        <v>0</v>
      </c>
      <c r="I44" s="19" t="s">
        <v>226</v>
      </c>
      <c r="J44" s="20" t="s">
        <v>227</v>
      </c>
      <c r="K44" s="19" t="s">
        <v>228</v>
      </c>
      <c r="L44" s="19" t="s">
        <v>229</v>
      </c>
      <c r="M44" s="20" t="s">
        <v>155</v>
      </c>
      <c r="N44" s="20" t="s">
        <v>74</v>
      </c>
      <c r="O44" s="21" t="s">
        <v>195</v>
      </c>
      <c r="P44" s="22" t="s">
        <v>219</v>
      </c>
    </row>
    <row r="45" spans="1:16" ht="12.75" customHeight="1" thickBot="1" x14ac:dyDescent="0.25">
      <c r="A45" s="6" t="str">
        <f t="shared" si="0"/>
        <v> BBS 128 </v>
      </c>
      <c r="B45" s="1" t="str">
        <f t="shared" si="1"/>
        <v>II</v>
      </c>
      <c r="C45" s="6">
        <f t="shared" si="2"/>
        <v>52363.317999999999</v>
      </c>
      <c r="D45" s="4" t="str">
        <f t="shared" si="3"/>
        <v>vis</v>
      </c>
      <c r="E45" s="18">
        <f>VLOOKUP(C45,Active!C$21:E$973,3,FALSE)</f>
        <v>3058.0167738266991</v>
      </c>
      <c r="F45" s="1" t="s">
        <v>74</v>
      </c>
      <c r="G45" s="4" t="str">
        <f t="shared" si="4"/>
        <v>52363.318</v>
      </c>
      <c r="H45" s="6">
        <f t="shared" si="5"/>
        <v>-10066.5</v>
      </c>
      <c r="I45" s="19" t="s">
        <v>122</v>
      </c>
      <c r="J45" s="20" t="s">
        <v>123</v>
      </c>
      <c r="K45" s="19">
        <v>-10066.5</v>
      </c>
      <c r="L45" s="19" t="s">
        <v>124</v>
      </c>
      <c r="M45" s="20" t="s">
        <v>79</v>
      </c>
      <c r="N45" s="20" t="s">
        <v>80</v>
      </c>
      <c r="O45" s="21" t="s">
        <v>89</v>
      </c>
      <c r="P45" s="21" t="s">
        <v>125</v>
      </c>
    </row>
    <row r="46" spans="1:16" ht="12.75" customHeight="1" thickBot="1" x14ac:dyDescent="0.25">
      <c r="A46" s="6" t="str">
        <f t="shared" si="0"/>
        <v>VSB 46 </v>
      </c>
      <c r="B46" s="1" t="str">
        <f t="shared" si="1"/>
        <v>II</v>
      </c>
      <c r="C46" s="6">
        <f t="shared" si="2"/>
        <v>54139.299299999999</v>
      </c>
      <c r="D46" s="4" t="str">
        <f t="shared" si="3"/>
        <v>vis</v>
      </c>
      <c r="E46" s="18">
        <f>VLOOKUP(C46,Active!C$21:E$973,3,FALSE)</f>
        <v>7912.9715588505351</v>
      </c>
      <c r="F46" s="1" t="s">
        <v>74</v>
      </c>
      <c r="G46" s="4" t="str">
        <f t="shared" si="4"/>
        <v>54139.2993</v>
      </c>
      <c r="H46" s="6">
        <f t="shared" si="5"/>
        <v>-5211.5</v>
      </c>
      <c r="I46" s="19" t="s">
        <v>152</v>
      </c>
      <c r="J46" s="20" t="s">
        <v>153</v>
      </c>
      <c r="K46" s="19">
        <v>-5211.5</v>
      </c>
      <c r="L46" s="19" t="s">
        <v>154</v>
      </c>
      <c r="M46" s="20" t="s">
        <v>155</v>
      </c>
      <c r="N46" s="20" t="s">
        <v>156</v>
      </c>
      <c r="O46" s="21" t="s">
        <v>157</v>
      </c>
      <c r="P46" s="22" t="s">
        <v>158</v>
      </c>
    </row>
    <row r="47" spans="1:16" x14ac:dyDescent="0.2">
      <c r="B47" s="1"/>
      <c r="F47" s="1"/>
    </row>
    <row r="48" spans="1:1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</sheetData>
  <phoneticPr fontId="8" type="noConversion"/>
  <hyperlinks>
    <hyperlink ref="P20" r:id="rId1" display="http://www.konkoly.hu/cgi-bin/IBVS?5149" xr:uid="{00000000-0004-0000-0100-000000000000}"/>
    <hyperlink ref="P21" r:id="rId2" display="http://www.konkoly.hu/cgi-bin/IBVS?5149" xr:uid="{00000000-0004-0000-0100-000001000000}"/>
    <hyperlink ref="P22" r:id="rId3" display="http://www.konkoly.hu/cgi-bin/IBVS?5149" xr:uid="{00000000-0004-0000-0100-000002000000}"/>
    <hyperlink ref="P23" r:id="rId4" display="http://www.konkoly.hu/cgi-bin/IBVS?5149" xr:uid="{00000000-0004-0000-0100-000003000000}"/>
    <hyperlink ref="P27" r:id="rId5" display="http://www.konkoly.hu/cgi-bin/IBVS?5672" xr:uid="{00000000-0004-0000-0100-000004000000}"/>
    <hyperlink ref="P28" r:id="rId6" display="http://www.konkoly.hu/cgi-bin/IBVS?5672" xr:uid="{00000000-0004-0000-0100-000005000000}"/>
    <hyperlink ref="P29" r:id="rId7" display="http://www.konkoly.hu/cgi-bin/IBVS?5653" xr:uid="{00000000-0004-0000-0100-000006000000}"/>
    <hyperlink ref="P30" r:id="rId8" display="http://www.konkoly.hu/cgi-bin/IBVS?5713" xr:uid="{00000000-0004-0000-0100-000007000000}"/>
    <hyperlink ref="P46" r:id="rId9" display="http://vsolj.cetus-net.org/no46.pdf" xr:uid="{00000000-0004-0000-0100-000008000000}"/>
    <hyperlink ref="P32" r:id="rId10" display="http://www.bav-astro.de/sfs/BAVM_link.php?BAVMnr=201" xr:uid="{00000000-0004-0000-0100-000009000000}"/>
    <hyperlink ref="P33" r:id="rId11" display="http://www.konkoly.hu/cgi-bin/IBVS?5820" xr:uid="{00000000-0004-0000-0100-00000A000000}"/>
    <hyperlink ref="P34" r:id="rId12" display="http://www.bav-astro.de/sfs/BAVM_link.php?BAVMnr=186" xr:uid="{00000000-0004-0000-0100-00000B000000}"/>
    <hyperlink ref="P35" r:id="rId13" display="http://www.konkoly.hu/cgi-bin/IBVS?5875" xr:uid="{00000000-0004-0000-0100-00000C000000}"/>
    <hyperlink ref="P36" r:id="rId14" display="http://www.konkoly.hu/cgi-bin/IBVS?5837" xr:uid="{00000000-0004-0000-0100-00000D000000}"/>
    <hyperlink ref="P37" r:id="rId15" display="http://www.konkoly.hu/cgi-bin/IBVS?5894" xr:uid="{00000000-0004-0000-0100-00000E000000}"/>
    <hyperlink ref="P38" r:id="rId16" display="http://www.konkoly.hu/cgi-bin/IBVS?5894" xr:uid="{00000000-0004-0000-0100-00000F000000}"/>
    <hyperlink ref="P39" r:id="rId17" display="http://www.konkoly.hu/cgi-bin/IBVS?5945" xr:uid="{00000000-0004-0000-0100-000010000000}"/>
    <hyperlink ref="P40" r:id="rId18" display="http://www.konkoly.hu/cgi-bin/IBVS?5992" xr:uid="{00000000-0004-0000-0100-000011000000}"/>
    <hyperlink ref="P41" r:id="rId19" display="http://www.bav-astro.de/sfs/BAVM_link.php?BAVMnr=220" xr:uid="{00000000-0004-0000-0100-000012000000}"/>
    <hyperlink ref="P42" r:id="rId20" display="http://www.konkoly.hu/cgi-bin/IBVS?6029" xr:uid="{00000000-0004-0000-0100-000013000000}"/>
    <hyperlink ref="P43" r:id="rId21" display="http://var.astro.cz/oejv/issues/oejv0160.pdf" xr:uid="{00000000-0004-0000-0100-000014000000}"/>
    <hyperlink ref="P44" r:id="rId22" display="http://www.konkoly.hu/cgi-bin/IBVS?6029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2024-01-30T04:26:48Z</dcterms:modified>
</cp:coreProperties>
</file>