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5B8474D-2357-48F1-89D2-F09F33735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Q31" i="1"/>
  <c r="E32" i="1"/>
  <c r="F32" i="1" s="1"/>
  <c r="G32" i="1" s="1"/>
  <c r="K32" i="1" s="1"/>
  <c r="Q32" i="1"/>
  <c r="D9" i="1"/>
  <c r="C9" i="1"/>
  <c r="Q30" i="1"/>
  <c r="C7" i="1"/>
  <c r="C8" i="1"/>
  <c r="E22" i="1"/>
  <c r="F22" i="1"/>
  <c r="G22" i="1"/>
  <c r="K22" i="1"/>
  <c r="E23" i="1"/>
  <c r="F23" i="1"/>
  <c r="G23" i="1"/>
  <c r="K23" i="1"/>
  <c r="E25" i="1"/>
  <c r="F25" i="1"/>
  <c r="G25" i="1"/>
  <c r="K25" i="1"/>
  <c r="E27" i="1"/>
  <c r="F27" i="1"/>
  <c r="G27" i="1"/>
  <c r="K27" i="1"/>
  <c r="E28" i="1"/>
  <c r="F28" i="1"/>
  <c r="Q27" i="1"/>
  <c r="Q28" i="1"/>
  <c r="Q29" i="1"/>
  <c r="Q23" i="1"/>
  <c r="Q24" i="1"/>
  <c r="Q25" i="1"/>
  <c r="Q26" i="1"/>
  <c r="F16" i="1"/>
  <c r="F17" i="1" s="1"/>
  <c r="C17" i="1"/>
  <c r="Q22" i="1"/>
  <c r="Q21" i="1"/>
  <c r="E30" i="1"/>
  <c r="F30" i="1"/>
  <c r="G30" i="1"/>
  <c r="K30" i="1"/>
  <c r="E21" i="1"/>
  <c r="F21" i="1"/>
  <c r="G21" i="1"/>
  <c r="I21" i="1"/>
  <c r="E24" i="1"/>
  <c r="F24" i="1"/>
  <c r="G24" i="1"/>
  <c r="E29" i="1"/>
  <c r="F29" i="1"/>
  <c r="G29" i="1"/>
  <c r="K29" i="1"/>
  <c r="G28" i="1"/>
  <c r="K28" i="1"/>
  <c r="E26" i="1"/>
  <c r="F26" i="1"/>
  <c r="G26" i="1"/>
  <c r="K26" i="1"/>
  <c r="K24" i="1"/>
  <c r="U31" i="1" l="1"/>
  <c r="G31" i="1"/>
  <c r="C12" i="1"/>
  <c r="C11" i="1"/>
  <c r="O32" i="1" l="1"/>
  <c r="O31" i="1"/>
  <c r="O22" i="1"/>
  <c r="O24" i="1"/>
  <c r="O21" i="1"/>
  <c r="O27" i="1"/>
  <c r="O23" i="1"/>
  <c r="O30" i="1"/>
  <c r="C15" i="1"/>
  <c r="F18" i="1" s="1"/>
  <c r="O26" i="1"/>
  <c r="O29" i="1"/>
  <c r="O25" i="1"/>
  <c r="O28" i="1"/>
  <c r="C16" i="1"/>
  <c r="D18" i="1" s="1"/>
  <c r="K31" i="1"/>
  <c r="C18" i="1" l="1"/>
  <c r="F19" i="1"/>
</calcChain>
</file>

<file path=xl/sharedStrings.xml><?xml version="1.0" encoding="utf-8"?>
<sst xmlns="http://schemas.openxmlformats.org/spreadsheetml/2006/main" count="67" uniqueCount="52">
  <si>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</si>
  <si>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</si>
  <si>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</si>
  <si>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</si>
  <si>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</si>
  <si>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</si>
  <si>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</si>
  <si>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</si>
  <si>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</si>
  <si>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</si>
  <si>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</si>
  <si>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</si>
  <si>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</si>
  <si>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</si>
  <si>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</si>
  <si>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</si>
  <si>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</si>
  <si>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</si>
  <si>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</si>
  <si>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</si>
  <si>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</si>
  <si>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</si>
  <si>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</si>
  <si>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</si>
  <si>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</si>
  <si>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</si>
  <si>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</si>
  <si>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</si>
  <si>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</si>
  <si>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</si>
  <si>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</si>
  <si>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</si>
  <si>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</si>
  <si>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</si>
  <si>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</si>
  <si>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</si>
  <si>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</si>
  <si>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</si>
  <si>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</si>
  <si>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DU CVn / GSC 2533-0101</t>
  </si>
  <si>
    <t>EW??</t>
  </si>
  <si>
    <t>IBVS 5894</t>
  </si>
  <si>
    <t>II</t>
  </si>
  <si>
    <t>Add cycle</t>
  </si>
  <si>
    <t>Old Cycle</t>
  </si>
  <si>
    <t>OEJV 0137</t>
  </si>
  <si>
    <t>I</t>
  </si>
  <si>
    <t>IBVS 5997</t>
  </si>
  <si>
    <t>vis</t>
  </si>
  <si>
    <t>OEJV 0211</t>
  </si>
  <si>
    <t>Bad?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</si>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</sst>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24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8" xfId="0" applyFont="1" applyBorder="1" applyAlignment="1">
      <alignment horizontal="center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/>
    </xf>
    <xf numFmtId="165" fontId="5" fillId="0" borderId="0" xfId="41" applyNumberFormat="1" applyFont="1" applyAlignment="1">
      <alignment horizontal="left" wrapText="1"/>
    </xf>
    <xf numFmtId="165" fontId="33" fillId="0" borderId="0" xfId="41" applyNumberFormat="1" applyFont="1" applyAlignment="1">
      <alignment horizontal="left"/>
    </xf>
    <xf numFmtId="165" fontId="36" fillId="0" borderId="0" xfId="0" applyNumberFormat="1" applyFont="1" applyAlignment="1" applyProtection="1">
      <alignment horizontal="left" vertical="center" wrapText="1"/>
      <protection locked="0"/>
    </xf>
    <xf numFmtId="165" fontId="0" fillId="0" borderId="0" xfId="0" applyNumberFormat="1" applyAlignment="1">
      <alignment horizontal="left"/>
    </xf>
    <xf numFmtId="0" fontId="36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CMi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4-4316-BE84-7DB6861935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0.30724999999802094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4-4316-BE84-7DB6861935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4-4316-BE84-7DB6861935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-2.9199999997217674E-2</c:v>
                </c:pt>
                <c:pt idx="2">
                  <c:v>-6.9554999994579703E-2</c:v>
                </c:pt>
                <c:pt idx="3">
                  <c:v>-7.5619999995979015E-2</c:v>
                </c:pt>
                <c:pt idx="4">
                  <c:v>-7.3384999996051192E-2</c:v>
                </c:pt>
                <c:pt idx="5">
                  <c:v>-7.7074999993783422E-2</c:v>
                </c:pt>
                <c:pt idx="6">
                  <c:v>-9.097499999916181E-2</c:v>
                </c:pt>
                <c:pt idx="7">
                  <c:v>-9.0100000001257285E-2</c:v>
                </c:pt>
                <c:pt idx="8">
                  <c:v>-9.3474999994214159E-2</c:v>
                </c:pt>
                <c:pt idx="9">
                  <c:v>-0.21644999999989523</c:v>
                </c:pt>
                <c:pt idx="10">
                  <c:v>-0.17881000020133797</c:v>
                </c:pt>
                <c:pt idx="11">
                  <c:v>-0.15364999999292195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4-4316-BE84-7DB6861935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4-4316-BE84-7DB6861935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4-4316-BE84-7DB6861935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4-4316-BE84-7DB6861935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5.4160709361450218E-2</c:v>
                </c:pt>
                <c:pt idx="1">
                  <c:v>-6.2799136142215384E-2</c:v>
                </c:pt>
                <c:pt idx="2">
                  <c:v>-7.6172196665861641E-2</c:v>
                </c:pt>
                <c:pt idx="3">
                  <c:v>-7.6531714763998282E-2</c:v>
                </c:pt>
                <c:pt idx="4">
                  <c:v>-7.6536778399183297E-2</c:v>
                </c:pt>
                <c:pt idx="5">
                  <c:v>-7.6729196536214184E-2</c:v>
                </c:pt>
                <c:pt idx="6">
                  <c:v>-8.8132502972886412E-2</c:v>
                </c:pt>
                <c:pt idx="7">
                  <c:v>-8.8137566608071427E-2</c:v>
                </c:pt>
                <c:pt idx="8">
                  <c:v>-8.8233775676586856E-2</c:v>
                </c:pt>
                <c:pt idx="9">
                  <c:v>-0.14931640691352158</c:v>
                </c:pt>
                <c:pt idx="10">
                  <c:v>-0.15742835047992873</c:v>
                </c:pt>
                <c:pt idx="11">
                  <c:v>-0.20827737500793161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4-4316-BE84-7DB68619356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  <c:pt idx="10">
                  <c:v>-0.17881000020133797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04-4316-BE84-7DB686193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783624"/>
        <c:axId val="1"/>
      </c:scatterChart>
      <c:valAx>
        <c:axId val="602783624"/>
        <c:scaling>
          <c:orientation val="minMax"/>
          <c:min val="1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78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87969924812029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CMi - O-C Diagr.</a:t>
            </a:r>
          </a:p>
        </c:rich>
      </c:tx>
      <c:layout>
        <c:manualLayout>
          <c:xMode val="edge"/>
          <c:yMode val="edge"/>
          <c:x val="0.385886516437697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28830044150660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58-4255-B789-1F484ABAB9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0.30724999999802094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58-4255-B789-1F484ABAB9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58-4255-B789-1F484ABAB9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-2.9199999997217674E-2</c:v>
                </c:pt>
                <c:pt idx="2">
                  <c:v>-6.9554999994579703E-2</c:v>
                </c:pt>
                <c:pt idx="3">
                  <c:v>-7.5619999995979015E-2</c:v>
                </c:pt>
                <c:pt idx="4">
                  <c:v>-7.3384999996051192E-2</c:v>
                </c:pt>
                <c:pt idx="5">
                  <c:v>-7.7074999993783422E-2</c:v>
                </c:pt>
                <c:pt idx="6">
                  <c:v>-9.097499999916181E-2</c:v>
                </c:pt>
                <c:pt idx="7">
                  <c:v>-9.0100000001257285E-2</c:v>
                </c:pt>
                <c:pt idx="8">
                  <c:v>-9.3474999994214159E-2</c:v>
                </c:pt>
                <c:pt idx="9">
                  <c:v>-0.21644999999989523</c:v>
                </c:pt>
                <c:pt idx="10">
                  <c:v>-0.17881000020133797</c:v>
                </c:pt>
                <c:pt idx="11">
                  <c:v>-0.15364999999292195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58-4255-B789-1F484ABAB9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58-4255-B789-1F484ABAB9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58-4255-B789-1F484ABAB9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58-4255-B789-1F484ABAB9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5.4160709361450218E-2</c:v>
                </c:pt>
                <c:pt idx="1">
                  <c:v>-6.2799136142215384E-2</c:v>
                </c:pt>
                <c:pt idx="2">
                  <c:v>-7.6172196665861641E-2</c:v>
                </c:pt>
                <c:pt idx="3">
                  <c:v>-7.6531714763998282E-2</c:v>
                </c:pt>
                <c:pt idx="4">
                  <c:v>-7.6536778399183297E-2</c:v>
                </c:pt>
                <c:pt idx="5">
                  <c:v>-7.6729196536214184E-2</c:v>
                </c:pt>
                <c:pt idx="6">
                  <c:v>-8.8132502972886412E-2</c:v>
                </c:pt>
                <c:pt idx="7">
                  <c:v>-8.8137566608071427E-2</c:v>
                </c:pt>
                <c:pt idx="8">
                  <c:v>-8.8233775676586856E-2</c:v>
                </c:pt>
                <c:pt idx="9">
                  <c:v>-0.14931640691352158</c:v>
                </c:pt>
                <c:pt idx="10">
                  <c:v>-0.15742835047992873</c:v>
                </c:pt>
                <c:pt idx="11">
                  <c:v>-0.20827737500793161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58-4255-B789-1F484ABAB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787224"/>
        <c:axId val="1"/>
      </c:scatterChart>
      <c:valAx>
        <c:axId val="602787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787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675707203266257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FBFE8AF-4AE0-3D7A-3AFA-013B6821C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0</xdr:rowOff>
    </xdr:from>
    <xdr:to>
      <xdr:col>27</xdr:col>
      <xdr:colOff>28575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EB6F677-9E3B-7FF8-DD98-9D39DC677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7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28</v>
      </c>
      <c r="B2" s="28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8">
        <v>51341.743999999999</v>
      </c>
      <c r="D4" s="9">
        <v>0.30725000000000002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f>+C4</f>
        <v>51341.743999999999</v>
      </c>
    </row>
    <row r="8" spans="1:6" x14ac:dyDescent="0.2">
      <c r="A8" t="s">
        <v>7</v>
      </c>
      <c r="C8">
        <f>+D4</f>
        <v>0.30725000000000002</v>
      </c>
    </row>
    <row r="9" spans="1:6" x14ac:dyDescent="0.2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20</v>
      </c>
      <c r="B11" s="12"/>
      <c r="C11" s="23">
        <f ca="1">INTERCEPT(INDIRECT($D$9):G989,INDIRECT($C$9):F989)</f>
        <v>5.4150582091080174E-2</v>
      </c>
      <c r="D11" s="3"/>
      <c r="E11" s="12"/>
    </row>
    <row r="12" spans="1:6" x14ac:dyDescent="0.2">
      <c r="A12" s="12" t="s">
        <v>21</v>
      </c>
      <c r="B12" s="12"/>
      <c r="C12" s="23">
        <f ca="1">SLOPE(INDIRECT($D$9):G989,INDIRECT($C$9):F989)</f>
        <v>-1.0127270370046377E-5</v>
      </c>
      <c r="D12" s="3"/>
      <c r="E12" s="12"/>
    </row>
    <row r="13" spans="1:6" x14ac:dyDescent="0.2">
      <c r="A13" s="12" t="s">
        <v>23</v>
      </c>
      <c r="B13" s="12"/>
      <c r="C13" s="3" t="s">
        <v>18</v>
      </c>
    </row>
    <row r="14" spans="1:6" x14ac:dyDescent="0.2">
      <c r="A14" s="12"/>
      <c r="B14" s="12"/>
      <c r="C14" s="12"/>
    </row>
    <row r="15" spans="1:6" x14ac:dyDescent="0.2">
      <c r="A15" s="14" t="s">
        <v>22</v>
      </c>
      <c r="B15" s="12"/>
      <c r="C15" s="15">
        <f ca="1">(C7+C11)+(C8+C12)*INT(MAX(F21:F3530))</f>
        <v>59303.304972624988</v>
      </c>
      <c r="E15" s="16" t="s">
        <v>43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0.30723987272962999</v>
      </c>
      <c r="E16" s="16" t="s">
        <v>35</v>
      </c>
      <c r="F16" s="17">
        <f ca="1">NOW()+15018.5+$C$5/24</f>
        <v>60339.739495138885</v>
      </c>
    </row>
    <row r="17" spans="1:21" ht="13.5" thickBot="1" x14ac:dyDescent="0.25">
      <c r="A17" s="16" t="s">
        <v>32</v>
      </c>
      <c r="B17" s="12"/>
      <c r="C17" s="12">
        <f>COUNT(C21:C2188)</f>
        <v>12</v>
      </c>
      <c r="E17" s="16" t="s">
        <v>44</v>
      </c>
      <c r="F17" s="17">
        <f ca="1">ROUND(2*(F16-$C$7)/$C$8,0)/2+F15</f>
        <v>29286.5</v>
      </c>
    </row>
    <row r="18" spans="1:21" ht="14.25" thickTop="1" thickBot="1" x14ac:dyDescent="0.25">
      <c r="A18" s="18" t="s">
        <v>9</v>
      </c>
      <c r="B18" s="12"/>
      <c r="C18" s="21">
        <f ca="1">+C15</f>
        <v>59303.304972624988</v>
      </c>
      <c r="D18" s="22">
        <f ca="1">+C16</f>
        <v>0.30723987272962999</v>
      </c>
      <c r="E18" s="16" t="s">
        <v>36</v>
      </c>
      <c r="F18" s="25">
        <f ca="1">ROUND(2*(F16-$C$15)/$C$16,0)/2+F15</f>
        <v>3374.5</v>
      </c>
    </row>
    <row r="19" spans="1:21" ht="13.5" thickTop="1" x14ac:dyDescent="0.2">
      <c r="E19" s="16" t="s">
        <v>37</v>
      </c>
      <c r="F19" s="20">
        <f ca="1">+$C$15+$C$16*F18-15018.5-$C$5/24</f>
        <v>45321.981756484463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41" t="s">
        <v>50</v>
      </c>
    </row>
    <row r="21" spans="1:21" x14ac:dyDescent="0.2">
      <c r="A21" t="s">
        <v>16</v>
      </c>
      <c r="C21" s="10">
        <v>51341.743999999999</v>
      </c>
      <c r="D21" s="10" t="s">
        <v>18</v>
      </c>
      <c r="E21">
        <f t="shared" ref="E21:E29" si="0">+(C21-C$7)/C$8</f>
        <v>0</v>
      </c>
      <c r="F21">
        <f>ROUND(2*E21,0)/2-1</f>
        <v>-1</v>
      </c>
      <c r="G21">
        <f t="shared" ref="G21:G29" si="1">+C21-(C$7+F21*C$8)</f>
        <v>0.30724999999802094</v>
      </c>
      <c r="I21">
        <f>+G21</f>
        <v>0.30724999999802094</v>
      </c>
      <c r="O21">
        <f t="shared" ref="O21:O29" ca="1" si="2">+C$11+C$12*$F21</f>
        <v>5.4160709361450218E-2</v>
      </c>
      <c r="Q21" s="2">
        <f t="shared" ref="Q21:Q29" si="3">+C21-15018.5</f>
        <v>36323.243999999999</v>
      </c>
    </row>
    <row r="22" spans="1:21" x14ac:dyDescent="0.2">
      <c r="A22" s="29" t="s">
        <v>41</v>
      </c>
      <c r="B22" s="30" t="s">
        <v>42</v>
      </c>
      <c r="C22" s="29">
        <v>54889.837800000001</v>
      </c>
      <c r="D22" s="29">
        <v>1.1999999999999999E-3</v>
      </c>
      <c r="E22">
        <f t="shared" si="0"/>
        <v>11547.904963384872</v>
      </c>
      <c r="F22">
        <f>ROUND(2*E22,0)/2</f>
        <v>11548</v>
      </c>
      <c r="G22">
        <f t="shared" si="1"/>
        <v>-2.9199999997217674E-2</v>
      </c>
      <c r="K22">
        <f t="shared" ref="K22:K30" si="4">+G22</f>
        <v>-2.9199999997217674E-2</v>
      </c>
      <c r="O22">
        <f t="shared" ca="1" si="2"/>
        <v>-6.2799136142215384E-2</v>
      </c>
      <c r="Q22" s="2">
        <f t="shared" si="3"/>
        <v>39871.337800000001</v>
      </c>
    </row>
    <row r="23" spans="1:21" x14ac:dyDescent="0.2">
      <c r="A23" s="32" t="s">
        <v>45</v>
      </c>
      <c r="B23" s="30" t="s">
        <v>42</v>
      </c>
      <c r="C23" s="29">
        <v>55295.521070000003</v>
      </c>
      <c r="D23" s="29">
        <v>2E-3</v>
      </c>
      <c r="E23">
        <f t="shared" si="0"/>
        <v>12868.273620829954</v>
      </c>
      <c r="F23">
        <f>ROUND(2*E23,0)/2</f>
        <v>12868.5</v>
      </c>
      <c r="G23">
        <f t="shared" si="1"/>
        <v>-6.9554999994579703E-2</v>
      </c>
      <c r="K23">
        <f t="shared" si="4"/>
        <v>-6.9554999994579703E-2</v>
      </c>
      <c r="O23">
        <f t="shared" ca="1" si="2"/>
        <v>-7.6172196665861641E-2</v>
      </c>
      <c r="Q23" s="2">
        <f t="shared" si="3"/>
        <v>40277.021070000003</v>
      </c>
    </row>
    <row r="24" spans="1:21" x14ac:dyDescent="0.2">
      <c r="A24" s="32" t="s">
        <v>45</v>
      </c>
      <c r="B24" s="30" t="s">
        <v>46</v>
      </c>
      <c r="C24" s="29">
        <v>55306.422380000004</v>
      </c>
      <c r="D24" s="29">
        <v>2E-3</v>
      </c>
      <c r="E24">
        <f t="shared" si="0"/>
        <v>12903.753881204246</v>
      </c>
      <c r="F24">
        <f>ROUND(2*E24,0)/2</f>
        <v>12904</v>
      </c>
      <c r="G24">
        <f t="shared" si="1"/>
        <v>-7.5619999995979015E-2</v>
      </c>
      <c r="K24">
        <f t="shared" si="4"/>
        <v>-7.5619999995979015E-2</v>
      </c>
      <c r="O24">
        <f t="shared" ca="1" si="2"/>
        <v>-7.6531714763998282E-2</v>
      </c>
      <c r="Q24" s="2">
        <f t="shared" si="3"/>
        <v>40287.922380000004</v>
      </c>
    </row>
    <row r="25" spans="1:21" x14ac:dyDescent="0.2">
      <c r="A25" s="32" t="s">
        <v>45</v>
      </c>
      <c r="B25" s="30" t="s">
        <v>42</v>
      </c>
      <c r="C25" s="29">
        <v>55306.578240000003</v>
      </c>
      <c r="D25" s="29">
        <v>4.0000000000000001E-3</v>
      </c>
      <c r="E25">
        <f t="shared" si="0"/>
        <v>12904.261155410915</v>
      </c>
      <c r="F25">
        <f>ROUND(2*E25,0)/2</f>
        <v>12904.5</v>
      </c>
      <c r="G25">
        <f t="shared" si="1"/>
        <v>-7.3384999996051192E-2</v>
      </c>
      <c r="K25">
        <f t="shared" si="4"/>
        <v>-7.3384999996051192E-2</v>
      </c>
      <c r="O25">
        <f t="shared" ca="1" si="2"/>
        <v>-7.6536778399183297E-2</v>
      </c>
      <c r="Q25" s="2">
        <f t="shared" si="3"/>
        <v>40288.078240000003</v>
      </c>
    </row>
    <row r="26" spans="1:21" x14ac:dyDescent="0.2">
      <c r="A26" s="32" t="s">
        <v>45</v>
      </c>
      <c r="B26" s="30" t="s">
        <v>42</v>
      </c>
      <c r="C26" s="29">
        <v>55312.412300000004</v>
      </c>
      <c r="D26" s="29">
        <v>2.0000000000000001E-4</v>
      </c>
      <c r="E26">
        <f t="shared" si="0"/>
        <v>12923.249145646882</v>
      </c>
      <c r="F26" s="31">
        <f t="shared" ref="F26:F30" si="5">ROUND(2*E26,0)/2+0.5</f>
        <v>12923.5</v>
      </c>
      <c r="G26">
        <f t="shared" si="1"/>
        <v>-7.7074999993783422E-2</v>
      </c>
      <c r="K26">
        <f t="shared" si="4"/>
        <v>-7.7074999993783422E-2</v>
      </c>
      <c r="O26">
        <f t="shared" ca="1" si="2"/>
        <v>-7.6729196536214184E-2</v>
      </c>
      <c r="Q26" s="2">
        <f t="shared" si="3"/>
        <v>40293.912300000004</v>
      </c>
    </row>
    <row r="27" spans="1:21" x14ac:dyDescent="0.2">
      <c r="A27" s="33" t="s">
        <v>47</v>
      </c>
      <c r="B27" s="34" t="s">
        <v>46</v>
      </c>
      <c r="C27" s="33">
        <v>55658.361900000004</v>
      </c>
      <c r="D27" s="33">
        <v>1.1000000000000001E-3</v>
      </c>
      <c r="E27">
        <f t="shared" si="0"/>
        <v>14049.203905614335</v>
      </c>
      <c r="F27" s="31">
        <f t="shared" si="5"/>
        <v>14049.5</v>
      </c>
      <c r="G27">
        <f t="shared" si="1"/>
        <v>-9.097499999916181E-2</v>
      </c>
      <c r="K27">
        <f t="shared" si="4"/>
        <v>-9.097499999916181E-2</v>
      </c>
      <c r="O27">
        <f t="shared" ca="1" si="2"/>
        <v>-8.8132502972886412E-2</v>
      </c>
      <c r="Q27" s="2">
        <f t="shared" si="3"/>
        <v>40639.861900000004</v>
      </c>
    </row>
    <row r="28" spans="1:21" x14ac:dyDescent="0.2">
      <c r="A28" s="33" t="s">
        <v>47</v>
      </c>
      <c r="B28" s="34" t="s">
        <v>42</v>
      </c>
      <c r="C28" s="33">
        <v>55658.5164</v>
      </c>
      <c r="D28" s="33">
        <v>5.0000000000000001E-4</v>
      </c>
      <c r="E28">
        <f t="shared" si="0"/>
        <v>14049.7067534581</v>
      </c>
      <c r="F28" s="31">
        <f t="shared" si="5"/>
        <v>14050</v>
      </c>
      <c r="G28">
        <f t="shared" si="1"/>
        <v>-9.0100000001257285E-2</v>
      </c>
      <c r="K28">
        <f t="shared" si="4"/>
        <v>-9.0100000001257285E-2</v>
      </c>
      <c r="O28">
        <f t="shared" ca="1" si="2"/>
        <v>-8.8137566608071427E-2</v>
      </c>
      <c r="Q28" s="2">
        <f t="shared" si="3"/>
        <v>40640.0164</v>
      </c>
    </row>
    <row r="29" spans="1:21" x14ac:dyDescent="0.2">
      <c r="A29" s="33" t="s">
        <v>47</v>
      </c>
      <c r="B29" s="34" t="s">
        <v>46</v>
      </c>
      <c r="C29" s="44">
        <v>55661.431900000003</v>
      </c>
      <c r="D29" s="33">
        <v>8.0000000000000004E-4</v>
      </c>
      <c r="E29">
        <f t="shared" si="0"/>
        <v>14059.195768917833</v>
      </c>
      <c r="F29" s="31">
        <f t="shared" si="5"/>
        <v>14059.5</v>
      </c>
      <c r="G29">
        <f t="shared" si="1"/>
        <v>-9.3474999994214159E-2</v>
      </c>
      <c r="K29">
        <f t="shared" si="4"/>
        <v>-9.3474999994214159E-2</v>
      </c>
      <c r="O29">
        <f t="shared" ca="1" si="2"/>
        <v>-8.8233775676586856E-2</v>
      </c>
      <c r="Q29" s="2">
        <f t="shared" si="3"/>
        <v>40642.931900000003</v>
      </c>
    </row>
    <row r="30" spans="1:21" x14ac:dyDescent="0.2">
      <c r="A30" s="35" t="s">
        <v>1</v>
      </c>
      <c r="B30" s="36" t="s">
        <v>46</v>
      </c>
      <c r="C30" s="45">
        <v>57514.487300000001</v>
      </c>
      <c r="D30" s="37">
        <v>1.1000000000000001E-3</v>
      </c>
      <c r="E30">
        <f>+(C30-C$7)/C$8</f>
        <v>20090.295524816927</v>
      </c>
      <c r="F30" s="31">
        <f t="shared" si="5"/>
        <v>20091</v>
      </c>
      <c r="G30">
        <f>+C30-(C$7+F30*C$8)</f>
        <v>-0.21644999999989523</v>
      </c>
      <c r="K30">
        <f t="shared" si="4"/>
        <v>-0.21644999999989523</v>
      </c>
      <c r="O30">
        <f ca="1">+C$11+C$12*$F30</f>
        <v>-0.14931640691352158</v>
      </c>
      <c r="Q30" s="2">
        <f>+C30-15018.5</f>
        <v>42495.987300000001</v>
      </c>
    </row>
    <row r="31" spans="1:21" x14ac:dyDescent="0.2">
      <c r="A31" s="38" t="s">
        <v>49</v>
      </c>
      <c r="B31" s="39" t="s">
        <v>46</v>
      </c>
      <c r="C31" s="46">
        <v>57760.6321899998</v>
      </c>
      <c r="D31" s="40">
        <v>1.6000000000000001E-3</v>
      </c>
      <c r="E31">
        <f t="shared" ref="E31:E32" si="6">+(C31-C$7)/C$8</f>
        <v>20891.418030918798</v>
      </c>
      <c r="F31" s="31">
        <f t="shared" ref="F31:F32" si="7">ROUND(2*E31,0)/2+0.5</f>
        <v>20892</v>
      </c>
      <c r="G31">
        <f t="shared" ref="G31:G32" si="8">+C31-(C$7+F31*C$8)</f>
        <v>-0.17881000020133797</v>
      </c>
      <c r="K31">
        <f t="shared" ref="K31:K32" si="9">+G31</f>
        <v>-0.17881000020133797</v>
      </c>
      <c r="O31">
        <f t="shared" ref="O31:O32" ca="1" si="10">+C$11+C$12*$F31</f>
        <v>-0.15742835047992873</v>
      </c>
      <c r="Q31" s="2">
        <f t="shared" ref="Q31:Q32" si="11">+C31-15018.5</f>
        <v>42742.1321899998</v>
      </c>
      <c r="U31">
        <f>+C31-(C$7+F31*C$8)</f>
        <v>-0.17881000020133797</v>
      </c>
    </row>
    <row r="32" spans="1:21" x14ac:dyDescent="0.2">
      <c r="A32" s="42" t="s">
        <v>51</v>
      </c>
      <c r="B32" s="43" t="s">
        <v>42</v>
      </c>
      <c r="C32" s="47">
        <v>59303.359600000003</v>
      </c>
      <c r="D32" s="49">
        <v>2.0000000000000001E-4</v>
      </c>
      <c r="E32">
        <f t="shared" si="6"/>
        <v>25912.49991863305</v>
      </c>
      <c r="F32" s="31">
        <f t="shared" si="7"/>
        <v>25913</v>
      </c>
      <c r="G32">
        <f t="shared" si="8"/>
        <v>-0.15364999999292195</v>
      </c>
      <c r="K32">
        <f t="shared" si="9"/>
        <v>-0.15364999999292195</v>
      </c>
      <c r="O32">
        <f t="shared" ca="1" si="10"/>
        <v>-0.20827737500793161</v>
      </c>
      <c r="Q32" s="2">
        <f t="shared" si="11"/>
        <v>44284.859600000003</v>
      </c>
    </row>
    <row r="33" spans="3:4" x14ac:dyDescent="0.2">
      <c r="C33" s="48"/>
      <c r="D33" s="10"/>
    </row>
    <row r="34" spans="3:4" x14ac:dyDescent="0.2">
      <c r="C34" s="48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protectedRanges>
    <protectedRange sqref="A31:D31" name="Range1"/>
  </protectedRanges>
  <phoneticPr fontId="8" type="noConversion"/>
  <hyperlinks>
    <hyperlink ref="H118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2024-01-30T04:44:52Z</dcterms:modified>
</cp:coreProperties>
</file>