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B91EEA-F2A2-4AB3-81E0-F7AE56307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C37" i="1"/>
  <c r="A37" i="1"/>
  <c r="E76" i="1"/>
  <c r="F76" i="1" s="1"/>
  <c r="G76" i="1" s="1"/>
  <c r="K76" i="1" s="1"/>
  <c r="Q76" i="1"/>
  <c r="Q75" i="1"/>
  <c r="Q72" i="1"/>
  <c r="Q73" i="1"/>
  <c r="Q74" i="1"/>
  <c r="D9" i="1"/>
  <c r="C9" i="1"/>
  <c r="Q68" i="1"/>
  <c r="Q69" i="1"/>
  <c r="Q70" i="1"/>
  <c r="Q71" i="1"/>
  <c r="Q52" i="1"/>
  <c r="Q51" i="1"/>
  <c r="Q46" i="1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35" i="2"/>
  <c r="C35" i="2"/>
  <c r="G34" i="2"/>
  <c r="C34" i="2"/>
  <c r="G19" i="2"/>
  <c r="C19" i="2"/>
  <c r="G18" i="2"/>
  <c r="C18" i="2"/>
  <c r="G17" i="2"/>
  <c r="C17" i="2"/>
  <c r="G16" i="2"/>
  <c r="C16" i="2"/>
  <c r="G33" i="2"/>
  <c r="C33" i="2"/>
  <c r="G15" i="2"/>
  <c r="C15" i="2"/>
  <c r="G14" i="2"/>
  <c r="C14" i="2"/>
  <c r="G13" i="2"/>
  <c r="C13" i="2"/>
  <c r="G12" i="2"/>
  <c r="C12" i="2"/>
  <c r="G11" i="2"/>
  <c r="C1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35" i="2"/>
  <c r="B35" i="2"/>
  <c r="D35" i="2"/>
  <c r="A35" i="2"/>
  <c r="H34" i="2"/>
  <c r="B34" i="2"/>
  <c r="D34" i="2"/>
  <c r="A34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33" i="2"/>
  <c r="B33" i="2"/>
  <c r="D33" i="2"/>
  <c r="A33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67" i="1"/>
  <c r="Q66" i="1"/>
  <c r="Q60" i="1"/>
  <c r="Q61" i="1"/>
  <c r="Q63" i="1"/>
  <c r="Q64" i="1"/>
  <c r="Q62" i="1"/>
  <c r="Q65" i="1"/>
  <c r="Q41" i="1"/>
  <c r="Q43" i="1"/>
  <c r="Q45" i="1"/>
  <c r="Q47" i="1"/>
  <c r="Q48" i="1"/>
  <c r="Q49" i="1"/>
  <c r="Q57" i="1"/>
  <c r="Q55" i="1"/>
  <c r="Q56" i="1"/>
  <c r="Q58" i="1"/>
  <c r="Q59" i="1"/>
  <c r="Q54" i="1"/>
  <c r="F15" i="1"/>
  <c r="F16" i="1" s="1"/>
  <c r="C17" i="1"/>
  <c r="Q53" i="1"/>
  <c r="Q50" i="1"/>
  <c r="Q44" i="1"/>
  <c r="Q42" i="1"/>
  <c r="Q40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8" i="1"/>
  <c r="Q39" i="1"/>
  <c r="Q35" i="1"/>
  <c r="Q36" i="1"/>
  <c r="E75" i="1"/>
  <c r="F75" i="1" s="1"/>
  <c r="G75" i="1" s="1"/>
  <c r="K75" i="1" s="1"/>
  <c r="Q29" i="1"/>
  <c r="E20" i="2"/>
  <c r="E53" i="1"/>
  <c r="F53" i="1" s="1"/>
  <c r="G53" i="1" s="1"/>
  <c r="K53" i="1" s="1"/>
  <c r="E45" i="1"/>
  <c r="F45" i="1" s="1"/>
  <c r="G45" i="1" s="1"/>
  <c r="J45" i="1" s="1"/>
  <c r="E36" i="1"/>
  <c r="F36" i="1" s="1"/>
  <c r="G36" i="1" s="1"/>
  <c r="K36" i="1" s="1"/>
  <c r="E70" i="1"/>
  <c r="F70" i="1" s="1"/>
  <c r="G70" i="1" s="1"/>
  <c r="K70" i="1" s="1"/>
  <c r="E62" i="1"/>
  <c r="E29" i="2" s="1"/>
  <c r="E58" i="1"/>
  <c r="E25" i="2" s="1"/>
  <c r="E50" i="1"/>
  <c r="F50" i="1" s="1"/>
  <c r="G50" i="1" s="1"/>
  <c r="K50" i="1" s="1"/>
  <c r="E42" i="1"/>
  <c r="F42" i="1" s="1"/>
  <c r="G42" i="1" s="1"/>
  <c r="K42" i="1" s="1"/>
  <c r="E67" i="1"/>
  <c r="F67" i="1" s="1"/>
  <c r="G67" i="1" s="1"/>
  <c r="K67" i="1" s="1"/>
  <c r="E55" i="1"/>
  <c r="F55" i="1" s="1"/>
  <c r="G55" i="1" s="1"/>
  <c r="J55" i="1" s="1"/>
  <c r="E47" i="1"/>
  <c r="E16" i="2" s="1"/>
  <c r="E39" i="1"/>
  <c r="F39" i="1" s="1"/>
  <c r="G39" i="1" s="1"/>
  <c r="J39" i="1" s="1"/>
  <c r="E73" i="1"/>
  <c r="F73" i="1" s="1"/>
  <c r="G73" i="1" s="1"/>
  <c r="K73" i="1" s="1"/>
  <c r="E64" i="1"/>
  <c r="F64" i="1" s="1"/>
  <c r="G64" i="1" s="1"/>
  <c r="K64" i="1" s="1"/>
  <c r="E33" i="1"/>
  <c r="F33" i="1" s="1"/>
  <c r="G33" i="1" s="1"/>
  <c r="K33" i="1" s="1"/>
  <c r="E31" i="1"/>
  <c r="F31" i="1" s="1"/>
  <c r="G31" i="1" s="1"/>
  <c r="K31" i="1" s="1"/>
  <c r="E28" i="1"/>
  <c r="F28" i="1" s="1"/>
  <c r="G28" i="1" s="1"/>
  <c r="K28" i="1" s="1"/>
  <c r="E26" i="1"/>
  <c r="F26" i="1" s="1"/>
  <c r="G26" i="1" s="1"/>
  <c r="K26" i="1" s="1"/>
  <c r="E24" i="1"/>
  <c r="F24" i="1" s="1"/>
  <c r="G24" i="1" s="1"/>
  <c r="K24" i="1" s="1"/>
  <c r="E22" i="1"/>
  <c r="F22" i="1"/>
  <c r="G22" i="1" s="1"/>
  <c r="K22" i="1" s="1"/>
  <c r="E29" i="1"/>
  <c r="F29" i="1" s="1"/>
  <c r="G29" i="1" s="1"/>
  <c r="K29" i="1" s="1"/>
  <c r="E60" i="1"/>
  <c r="E27" i="2" s="1"/>
  <c r="E52" i="1"/>
  <c r="E35" i="2" s="1"/>
  <c r="E44" i="1"/>
  <c r="E14" i="2" s="1"/>
  <c r="E35" i="1"/>
  <c r="F35" i="1" s="1"/>
  <c r="G35" i="1" s="1"/>
  <c r="K35" i="1" s="1"/>
  <c r="E69" i="1"/>
  <c r="F69" i="1" s="1"/>
  <c r="G69" i="1" s="1"/>
  <c r="K69" i="1" s="1"/>
  <c r="E61" i="1"/>
  <c r="E28" i="2" s="1"/>
  <c r="E57" i="1"/>
  <c r="F57" i="1" s="1"/>
  <c r="G57" i="1" s="1"/>
  <c r="K57" i="1" s="1"/>
  <c r="E49" i="1"/>
  <c r="F49" i="1" s="1"/>
  <c r="G49" i="1" s="1"/>
  <c r="J49" i="1" s="1"/>
  <c r="E41" i="1"/>
  <c r="F41" i="1" s="1"/>
  <c r="G41" i="1" s="1"/>
  <c r="J41" i="1" s="1"/>
  <c r="E66" i="1"/>
  <c r="F66" i="1" s="1"/>
  <c r="G66" i="1" s="1"/>
  <c r="K66" i="1" s="1"/>
  <c r="E34" i="1"/>
  <c r="F34" i="1"/>
  <c r="G34" i="1" s="1"/>
  <c r="I34" i="1" s="1"/>
  <c r="E54" i="1"/>
  <c r="E21" i="2" s="1"/>
  <c r="E46" i="1"/>
  <c r="F46" i="1" s="1"/>
  <c r="G46" i="1" s="1"/>
  <c r="K46" i="1" s="1"/>
  <c r="E38" i="1"/>
  <c r="F38" i="1" s="1"/>
  <c r="G38" i="1" s="1"/>
  <c r="J38" i="1" s="1"/>
  <c r="E71" i="1"/>
  <c r="F71" i="1" s="1"/>
  <c r="G71" i="1" s="1"/>
  <c r="K71" i="1" s="1"/>
  <c r="E63" i="1"/>
  <c r="E30" i="2" s="1"/>
  <c r="E59" i="1"/>
  <c r="F59" i="1"/>
  <c r="G59" i="1" s="1"/>
  <c r="J59" i="1" s="1"/>
  <c r="E51" i="1"/>
  <c r="E34" i="2" s="1"/>
  <c r="E43" i="1"/>
  <c r="F43" i="1" s="1"/>
  <c r="G43" i="1" s="1"/>
  <c r="J43" i="1" s="1"/>
  <c r="E68" i="1"/>
  <c r="F68" i="1" s="1"/>
  <c r="G68" i="1" s="1"/>
  <c r="K68" i="1" s="1"/>
  <c r="E32" i="1"/>
  <c r="F32" i="1" s="1"/>
  <c r="G32" i="1" s="1"/>
  <c r="K32" i="1" s="1"/>
  <c r="E30" i="1"/>
  <c r="F30" i="1" s="1"/>
  <c r="G30" i="1" s="1"/>
  <c r="K30" i="1" s="1"/>
  <c r="E27" i="1"/>
  <c r="F27" i="1" s="1"/>
  <c r="G27" i="1" s="1"/>
  <c r="K27" i="1" s="1"/>
  <c r="E25" i="1"/>
  <c r="F25" i="1" s="1"/>
  <c r="G25" i="1" s="1"/>
  <c r="K25" i="1" s="1"/>
  <c r="E23" i="1"/>
  <c r="F23" i="1" s="1"/>
  <c r="G23" i="1" s="1"/>
  <c r="K23" i="1" s="1"/>
  <c r="E21" i="1"/>
  <c r="F21" i="1" s="1"/>
  <c r="G21" i="1" s="1"/>
  <c r="K21" i="1" s="1"/>
  <c r="E56" i="1"/>
  <c r="F56" i="1" s="1"/>
  <c r="G56" i="1" s="1"/>
  <c r="J56" i="1" s="1"/>
  <c r="E48" i="1"/>
  <c r="F48" i="1" s="1"/>
  <c r="G48" i="1" s="1"/>
  <c r="J48" i="1" s="1"/>
  <c r="E40" i="1"/>
  <c r="F40" i="1" s="1"/>
  <c r="G40" i="1" s="1"/>
  <c r="K40" i="1" s="1"/>
  <c r="E74" i="1"/>
  <c r="F74" i="1" s="1"/>
  <c r="G74" i="1" s="1"/>
  <c r="K74" i="1" s="1"/>
  <c r="E65" i="1"/>
  <c r="F65" i="1" s="1"/>
  <c r="G65" i="1" s="1"/>
  <c r="K65" i="1" s="1"/>
  <c r="E72" i="1"/>
  <c r="F72" i="1" s="1"/>
  <c r="G72" i="1" s="1"/>
  <c r="K72" i="1" s="1"/>
  <c r="E13" i="2"/>
  <c r="E26" i="2"/>
  <c r="E24" i="2"/>
  <c r="E15" i="2"/>
  <c r="E18" i="2" l="1"/>
  <c r="E31" i="2"/>
  <c r="E23" i="2"/>
  <c r="F54" i="1"/>
  <c r="G54" i="1" s="1"/>
  <c r="K54" i="1" s="1"/>
  <c r="E19" i="2"/>
  <c r="E11" i="2"/>
  <c r="E17" i="2"/>
  <c r="F44" i="1"/>
  <c r="G44" i="1" s="1"/>
  <c r="K44" i="1" s="1"/>
  <c r="F47" i="1"/>
  <c r="G47" i="1" s="1"/>
  <c r="J47" i="1" s="1"/>
  <c r="F62" i="1"/>
  <c r="G62" i="1" s="1"/>
  <c r="K62" i="1" s="1"/>
  <c r="F63" i="1"/>
  <c r="G63" i="1" s="1"/>
  <c r="K63" i="1" s="1"/>
  <c r="E32" i="2"/>
  <c r="E12" i="2"/>
  <c r="F51" i="1"/>
  <c r="G51" i="1" s="1"/>
  <c r="K51" i="1" s="1"/>
  <c r="F61" i="1"/>
  <c r="G61" i="1" s="1"/>
  <c r="F60" i="1"/>
  <c r="G60" i="1" s="1"/>
  <c r="K60" i="1" s="1"/>
  <c r="E33" i="2"/>
  <c r="F52" i="1"/>
  <c r="G52" i="1" s="1"/>
  <c r="K52" i="1" s="1"/>
  <c r="F58" i="1"/>
  <c r="G58" i="1" s="1"/>
  <c r="J58" i="1" s="1"/>
  <c r="E22" i="2"/>
  <c r="C11" i="1"/>
  <c r="C12" i="1"/>
  <c r="O37" i="1" l="1"/>
  <c r="O73" i="1"/>
  <c r="O64" i="1"/>
  <c r="O61" i="1"/>
  <c r="O62" i="1"/>
  <c r="O68" i="1"/>
  <c r="O57" i="1"/>
  <c r="O60" i="1"/>
  <c r="O65" i="1"/>
  <c r="O76" i="1"/>
  <c r="O21" i="1"/>
  <c r="O55" i="1"/>
  <c r="O56" i="1"/>
  <c r="O70" i="1"/>
  <c r="O59" i="1"/>
  <c r="O67" i="1"/>
  <c r="O75" i="1"/>
  <c r="O66" i="1"/>
  <c r="O74" i="1"/>
  <c r="O54" i="1"/>
  <c r="O63" i="1"/>
  <c r="O71" i="1"/>
  <c r="O69" i="1"/>
  <c r="O72" i="1"/>
  <c r="C16" i="1"/>
  <c r="D18" i="1" s="1"/>
  <c r="K61" i="1"/>
  <c r="O58" i="1"/>
  <c r="C15" i="1"/>
  <c r="C18" i="1" s="1"/>
  <c r="F17" i="1" l="1"/>
  <c r="F18" i="1" s="1"/>
  <c r="F19" i="1" l="1"/>
</calcChain>
</file>

<file path=xl/sharedStrings.xml><?xml version="1.0" encoding="utf-8"?>
<sst xmlns="http://schemas.openxmlformats.org/spreadsheetml/2006/main" count="395" uniqueCount="185">
  <si>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</si>
  <si>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</si>
  <si>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</si>
  <si>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</si>
  <si>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</si>
  <si>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</si>
  <si>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</si>
  <si>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</si>
  <si>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</si>
  <si>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</si>
  <si>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</si>
  <si>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</si>
  <si>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</si>
  <si>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</si>
  <si>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</si>
  <si>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</si>
  <si>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</si>
  <si>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</si>
  <si>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</si>
  <si>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</si>
  <si>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</si>
  <si>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</si>
  <si>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</si>
  <si>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</si>
  <si>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</si>
  <si>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</si>
  <si>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</si>
  <si>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</si>
  <si>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</si>
  <si>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</si>
  <si>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</si>
  <si>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</si>
  <si>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</si>
  <si>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EF CVn / GSC 2004-0784</t>
  </si>
  <si>
    <t>IBVS 5269 Eph.</t>
  </si>
  <si>
    <t>IBVS 5269</t>
  </si>
  <si>
    <t>I</t>
  </si>
  <si>
    <t>II</t>
  </si>
  <si>
    <t>IBVS 5438</t>
  </si>
  <si>
    <t>IBVS 5713</t>
  </si>
  <si>
    <t>IBVS 5543</t>
  </si>
  <si>
    <t>IBVS 5653</t>
  </si>
  <si>
    <t/>
  </si>
  <si>
    <t>EW</t>
  </si>
  <si>
    <t>IBVS 5781</t>
  </si>
  <si>
    <t>IBVS 5875</t>
  </si>
  <si>
    <t>IBVS 5894</t>
  </si>
  <si>
    <t>Add cycle</t>
  </si>
  <si>
    <t>Old Cycle</t>
  </si>
  <si>
    <t>IBVS 5960</t>
  </si>
  <si>
    <t>IBVS 5918</t>
  </si>
  <si>
    <t>IBVS 5992</t>
  </si>
  <si>
    <t>IBVS 6010</t>
  </si>
  <si>
    <t>IBVS 6029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</si>
  <si>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</si>
  <si>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</si>
  <si>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</si>
  <si>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</si>
  <si>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</si>
  <si>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</si>
  <si>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</si>
  <si>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</si>
  <si>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</si>
  <si>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</si>
  <si>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</si>
  <si>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</si>
  <si>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</si>
  <si>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2454172.4335 </t>
  </si>
  <si>
    <t> 12.03.2007 22:24 </t>
  </si>
  <si>
    <t> 0.0032 </t>
  </si>
  <si>
    <t>C </t>
  </si>
  <si>
    <t> E.Blättler </t>
  </si>
  <si>
    <t>IBVS 5781 </t>
  </si>
  <si>
    <t>2454505.5544 </t>
  </si>
  <si>
    <t> 09.02.2008 01:18 </t>
  </si>
  <si>
    <t> 0.0009 </t>
  </si>
  <si>
    <t>-I</t>
  </si>
  <si>
    <t> K.&amp; M.Rätz </t>
  </si>
  <si>
    <t>BAVM 209 </t>
  </si>
  <si>
    <t>2454553.8428 </t>
  </si>
  <si>
    <t> 28.03.2008 08:13 </t>
  </si>
  <si>
    <t>3907.5</t>
  </si>
  <si>
    <t> 0.0008 </t>
  </si>
  <si>
    <t> R.Nelson </t>
  </si>
  <si>
    <t>IBVS 5875 </t>
  </si>
  <si>
    <t>2454891.8628 </t>
  </si>
  <si>
    <t> 01.03.2009 08:42 </t>
  </si>
  <si>
    <t>5150</t>
  </si>
  <si>
    <t> R.Diethelm </t>
  </si>
  <si>
    <t>IBVS 5894 </t>
  </si>
  <si>
    <t>2454924.3727 </t>
  </si>
  <si>
    <t> 02.04.2009 20:56 </t>
  </si>
  <si>
    <t>5269.5</t>
  </si>
  <si>
    <t> F.Agerer </t>
  </si>
  <si>
    <t>2454924.3781 </t>
  </si>
  <si>
    <t> 02.04.2009 21:04 </t>
  </si>
  <si>
    <t> 0.0063 </t>
  </si>
  <si>
    <t>2454924.5085 </t>
  </si>
  <si>
    <t> 03.04.2009 00:12 </t>
  </si>
  <si>
    <t>5270</t>
  </si>
  <si>
    <t> 0.0007 </t>
  </si>
  <si>
    <t>2454941.3746 </t>
  </si>
  <si>
    <t> 19.04.2009 20:59 </t>
  </si>
  <si>
    <t>5332</t>
  </si>
  <si>
    <t> -0.0002 </t>
  </si>
  <si>
    <t>2454941.5118 </t>
  </si>
  <si>
    <t> 20.04.2009 00:16 </t>
  </si>
  <si>
    <t>5332.5</t>
  </si>
  <si>
    <t>2454957.6975 </t>
  </si>
  <si>
    <t> 06.05.2009 04:44 </t>
  </si>
  <si>
    <t>5392</t>
  </si>
  <si>
    <t>2454972.3898 </t>
  </si>
  <si>
    <t> 20.05.2009 21:21 </t>
  </si>
  <si>
    <t>5446</t>
  </si>
  <si>
    <t> 0.0015 </t>
  </si>
  <si>
    <t>BAVM 212 </t>
  </si>
  <si>
    <t>2454972.5251 </t>
  </si>
  <si>
    <t> 21.05.2009 00:36 </t>
  </si>
  <si>
    <t>5446.5</t>
  </si>
  <si>
    <t>2455000.4110 </t>
  </si>
  <si>
    <t> 17.06.2009 21:51 </t>
  </si>
  <si>
    <t>5549</t>
  </si>
  <si>
    <t> 0.0017 </t>
  </si>
  <si>
    <t>2455398.4168 </t>
  </si>
  <si>
    <t> 20.07.2010 22:00 </t>
  </si>
  <si>
    <t>7012</t>
  </si>
  <si>
    <t>IBVS 5960 </t>
  </si>
  <si>
    <t>2455624.4891 </t>
  </si>
  <si>
    <t> 03.03.2011 23:44 </t>
  </si>
  <si>
    <t>7843</t>
  </si>
  <si>
    <t> 0.0010 </t>
  </si>
  <si>
    <t>BAVM 220 </t>
  </si>
  <si>
    <t>2455624.6263 </t>
  </si>
  <si>
    <t> 04.03.2011 03:01 </t>
  </si>
  <si>
    <t>7843.5</t>
  </si>
  <si>
    <t> 0.0022 </t>
  </si>
  <si>
    <t>2455629.9294 </t>
  </si>
  <si>
    <t> 09.03.2011 10:18 </t>
  </si>
  <si>
    <t>7863</t>
  </si>
  <si>
    <t> 0.0003 </t>
  </si>
  <si>
    <t>IBVS 5992 </t>
  </si>
  <si>
    <t>2455661.4868 </t>
  </si>
  <si>
    <t> 09.04.2011 23:40 </t>
  </si>
  <si>
    <t>7979</t>
  </si>
  <si>
    <t> 0.0001 </t>
  </si>
  <si>
    <t>2455661.6251 </t>
  </si>
  <si>
    <t> 10.04.2011 03:00 </t>
  </si>
  <si>
    <t>7979.5</t>
  </si>
  <si>
    <t> 0.0024 </t>
  </si>
  <si>
    <t>2455692.36575 </t>
  </si>
  <si>
    <t> 10.05.2011 20:46 </t>
  </si>
  <si>
    <t>8092.5</t>
  </si>
  <si>
    <t> 0.00158 </t>
  </si>
  <si>
    <t>R</t>
  </si>
  <si>
    <t> M.Lehky </t>
  </si>
  <si>
    <t>OEJV 0160 </t>
  </si>
  <si>
    <t>2455989.57911 </t>
  </si>
  <si>
    <t> 03.03.2012 01:53 </t>
  </si>
  <si>
    <t>9185</t>
  </si>
  <si>
    <t> 0.00217 </t>
  </si>
  <si>
    <t>2455991.8936 </t>
  </si>
  <si>
    <t> 05.03.2012 09:26 </t>
  </si>
  <si>
    <t>9193.5</t>
  </si>
  <si>
    <t> 0.0043 </t>
  </si>
  <si>
    <t>IBVS 6029 </t>
  </si>
  <si>
    <t>2456014.47472 </t>
  </si>
  <si>
    <t> 27.03.2012 23:23 </t>
  </si>
  <si>
    <t>9276.5</t>
  </si>
  <si>
    <t> 0.00537 </t>
  </si>
  <si>
    <t>2456014.60693 </t>
  </si>
  <si>
    <t> 28.03.2012 02:33 </t>
  </si>
  <si>
    <t>9277</t>
  </si>
  <si>
    <t> 0.00155 </t>
  </si>
  <si>
    <t>2456049.7002 </t>
  </si>
  <si>
    <t> 02.05.2012 04:48 </t>
  </si>
  <si>
    <t>9406</t>
  </si>
  <si>
    <t> 0.0006 </t>
  </si>
  <si>
    <t>OEJV 0179</t>
  </si>
  <si>
    <t>OEJV 0211</t>
  </si>
  <si>
    <t>OEJV 0248 2024</t>
  </si>
  <si>
    <t>Next ToM-P</t>
  </si>
  <si>
    <t>Next ToM-S</t>
  </si>
  <si>
    <t xml:space="preserve">Mag </t>
  </si>
  <si>
    <t>13.08-13.56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</si>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</sst>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6" fillId="24" borderId="19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5" fillId="0" borderId="0" xfId="43" applyFont="1" applyAlignment="1">
      <alignment horizont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0" fontId="25" fillId="0" borderId="0" xfId="0" applyFont="1" applyAlignment="1"/>
    <xf numFmtId="0" fontId="25" fillId="25" borderId="20" xfId="0" applyFont="1" applyFill="1" applyBorder="1" applyAlignment="1">
      <alignment horizontal="right"/>
    </xf>
    <xf numFmtId="0" fontId="25" fillId="25" borderId="21" xfId="0" applyFont="1" applyFill="1" applyBorder="1" applyAlignment="1">
      <alignment horizontal="center" vertical="center"/>
    </xf>
    <xf numFmtId="0" fontId="10" fillId="0" borderId="22" xfId="0" applyFont="1" applyBorder="1">
      <alignment vertical="top"/>
    </xf>
    <xf numFmtId="0" fontId="12" fillId="0" borderId="23" xfId="0" applyFont="1" applyBorder="1">
      <alignment vertical="top"/>
    </xf>
    <xf numFmtId="0" fontId="9" fillId="0" borderId="23" xfId="0" applyFont="1" applyBorder="1">
      <alignment vertical="top"/>
    </xf>
    <xf numFmtId="0" fontId="8" fillId="0" borderId="23" xfId="0" applyFont="1" applyBorder="1" applyAlignment="1"/>
    <xf numFmtId="22" fontId="8" fillId="0" borderId="23" xfId="0" applyNumberFormat="1" applyFont="1" applyBorder="1">
      <alignment vertical="top"/>
    </xf>
    <xf numFmtId="0" fontId="10" fillId="0" borderId="24" xfId="0" applyFont="1" applyBorder="1">
      <alignment vertical="top"/>
    </xf>
    <xf numFmtId="22" fontId="38" fillId="0" borderId="25" xfId="0" applyNumberFormat="1" applyFont="1" applyBorder="1" applyAlignment="1"/>
    <xf numFmtId="0" fontId="10" fillId="0" borderId="0" xfId="0" applyFont="1" applyBorder="1">
      <alignment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CVn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3-4BD7-AB4F-A9198271B1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3">
                  <c:v>5.1500028348527849E-6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3-4BD7-AB4F-A9198271B1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7">
                  <c:v>1.5980000171111897E-4</c:v>
                </c:pt>
                <c:pt idx="18">
                  <c:v>-1.6434999997727573E-4</c:v>
                </c:pt>
                <c:pt idx="20">
                  <c:v>9.4099999842001125E-4</c:v>
                </c:pt>
                <c:pt idx="22">
                  <c:v>8.7104999693110585E-4</c:v>
                </c:pt>
                <c:pt idx="24">
                  <c:v>8.8314999447902665E-4</c:v>
                </c:pt>
                <c:pt idx="26">
                  <c:v>6.5900000481633469E-4</c:v>
                </c:pt>
                <c:pt idx="27">
                  <c:v>-2.3559999681310728E-4</c:v>
                </c:pt>
                <c:pt idx="28">
                  <c:v>9.4024999998509884E-4</c:v>
                </c:pt>
                <c:pt idx="34">
                  <c:v>9.8309999884804711E-4</c:v>
                </c:pt>
                <c:pt idx="35">
                  <c:v>2.1589500029222108E-3</c:v>
                </c:pt>
                <c:pt idx="37">
                  <c:v>1.142999972216785E-4</c:v>
                </c:pt>
                <c:pt idx="38">
                  <c:v>2.3901499953353778E-3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3-4BD7-AB4F-A9198271B1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-5.9798500005854294E-3</c:v>
                </c:pt>
                <c:pt idx="1">
                  <c:v>-1.0272100007568952E-2</c:v>
                </c:pt>
                <c:pt idx="2">
                  <c:v>-6.2068500046734698E-3</c:v>
                </c:pt>
                <c:pt idx="3">
                  <c:v>-4.3309999964549206E-3</c:v>
                </c:pt>
                <c:pt idx="4">
                  <c:v>-4.3691000028047711E-3</c:v>
                </c:pt>
                <c:pt idx="5">
                  <c:v>-2.8630000015255064E-3</c:v>
                </c:pt>
                <c:pt idx="6">
                  <c:v>-2.7871500060427934E-3</c:v>
                </c:pt>
                <c:pt idx="7">
                  <c:v>-5.5882000015117228E-3</c:v>
                </c:pt>
                <c:pt idx="8">
                  <c:v>-4.088200003025122E-3</c:v>
                </c:pt>
                <c:pt idx="9">
                  <c:v>-2.1123500046087429E-3</c:v>
                </c:pt>
                <c:pt idx="10">
                  <c:v>-2.8638000003411435E-3</c:v>
                </c:pt>
                <c:pt idx="11">
                  <c:v>-3.7879500014241785E-3</c:v>
                </c:pt>
                <c:pt idx="12">
                  <c:v>-5.4950999983702786E-3</c:v>
                </c:pt>
                <c:pt idx="14">
                  <c:v>-2.2328999984893017E-3</c:v>
                </c:pt>
                <c:pt idx="15">
                  <c:v>2.7783000041381456E-3</c:v>
                </c:pt>
                <c:pt idx="16">
                  <c:v>0</c:v>
                </c:pt>
                <c:pt idx="19">
                  <c:v>3.1843499964452349E-3</c:v>
                </c:pt>
                <c:pt idx="21">
                  <c:v>7.6774999615736306E-4</c:v>
                </c:pt>
                <c:pt idx="23">
                  <c:v>7.5500000093597919E-4</c:v>
                </c:pt>
                <c:pt idx="25">
                  <c:v>6.2831499963067472E-3</c:v>
                </c:pt>
                <c:pt idx="29">
                  <c:v>-2.3359999613603577E-4</c:v>
                </c:pt>
                <c:pt idx="30">
                  <c:v>1.4581999930669554E-3</c:v>
                </c:pt>
                <c:pt idx="31">
                  <c:v>7.3404999420745298E-4</c:v>
                </c:pt>
                <c:pt idx="32">
                  <c:v>1.6832999972393736E-3</c:v>
                </c:pt>
                <c:pt idx="33">
                  <c:v>8.2039999688277021E-4</c:v>
                </c:pt>
                <c:pt idx="36">
                  <c:v>3.1709999893791974E-4</c:v>
                </c:pt>
                <c:pt idx="39">
                  <c:v>1.5822499990463257E-3</c:v>
                </c:pt>
                <c:pt idx="40">
                  <c:v>2.1744999976363033E-3</c:v>
                </c:pt>
                <c:pt idx="41">
                  <c:v>4.2539499991107732E-3</c:v>
                </c:pt>
                <c:pt idx="42">
                  <c:v>5.3650499976356514E-3</c:v>
                </c:pt>
                <c:pt idx="43">
                  <c:v>1.5509000004385598E-3</c:v>
                </c:pt>
                <c:pt idx="44">
                  <c:v>5.9019999753218144E-4</c:v>
                </c:pt>
                <c:pt idx="45">
                  <c:v>1.0683000000426546E-2</c:v>
                </c:pt>
                <c:pt idx="46">
                  <c:v>1.0678849997930229E-2</c:v>
                </c:pt>
                <c:pt idx="47">
                  <c:v>2.0873299996310379E-2</c:v>
                </c:pt>
                <c:pt idx="48">
                  <c:v>1.9469150000077207E-2</c:v>
                </c:pt>
                <c:pt idx="49">
                  <c:v>2.8561449995322619E-2</c:v>
                </c:pt>
                <c:pt idx="50">
                  <c:v>2.4107299992465414E-2</c:v>
                </c:pt>
                <c:pt idx="51">
                  <c:v>3.1336100000771694E-2</c:v>
                </c:pt>
                <c:pt idx="52">
                  <c:v>3.1311949998780619E-2</c:v>
                </c:pt>
                <c:pt idx="53">
                  <c:v>3.0287800000223797E-2</c:v>
                </c:pt>
                <c:pt idx="54">
                  <c:v>2.7922250228584744E-2</c:v>
                </c:pt>
                <c:pt idx="55">
                  <c:v>3.9441900000383612E-2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3-4BD7-AB4F-A9198271B1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3-4BD7-AB4F-A9198271B1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CC99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3-4BD7-AB4F-A9198271B1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5.1999999999999998E-3</c:v>
                  </c:pt>
                  <c:pt idx="3">
                    <c:v>8.0000000000000004E-4</c:v>
                  </c:pt>
                  <c:pt idx="4">
                    <c:v>1.4E-3</c:v>
                  </c:pt>
                  <c:pt idx="5">
                    <c:v>1.1000000000000001E-3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1.6999999999999999E-3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0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1.2999999999999999E-3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1.5E-3</c:v>
                  </c:pt>
                  <c:pt idx="28">
                    <c:v>1.2999999999999999E-3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6.9999999999999999E-4</c:v>
                  </c:pt>
                  <c:pt idx="33">
                    <c:v>2.9999999999999997E-4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5.9999999999999995E-4</c:v>
                  </c:pt>
                  <c:pt idx="37">
                    <c:v>3.3E-3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4.0000000000000002E-4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5.0000000000000001E-4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8.0000000000000004E-4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1E-3</c:v>
                  </c:pt>
                  <c:pt idx="53">
                    <c:v>1.6999999999999999E-3</c:v>
                  </c:pt>
                  <c:pt idx="54">
                    <c:v>4.0000000000000002E-4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3-4BD7-AB4F-A9198271B1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-8120.5</c:v>
                </c:pt>
                <c:pt idx="1">
                  <c:v>-8013</c:v>
                </c:pt>
                <c:pt idx="2">
                  <c:v>-4430.5</c:v>
                </c:pt>
                <c:pt idx="3">
                  <c:v>-4430</c:v>
                </c:pt>
                <c:pt idx="4">
                  <c:v>-4423</c:v>
                </c:pt>
                <c:pt idx="5">
                  <c:v>-4390</c:v>
                </c:pt>
                <c:pt idx="6">
                  <c:v>-4389.5</c:v>
                </c:pt>
                <c:pt idx="7">
                  <c:v>-4346</c:v>
                </c:pt>
                <c:pt idx="8">
                  <c:v>-4346</c:v>
                </c:pt>
                <c:pt idx="9">
                  <c:v>-4345.5</c:v>
                </c:pt>
                <c:pt idx="10">
                  <c:v>-4214</c:v>
                </c:pt>
                <c:pt idx="11">
                  <c:v>-4213.5</c:v>
                </c:pt>
                <c:pt idx="12">
                  <c:v>-4203</c:v>
                </c:pt>
                <c:pt idx="13">
                  <c:v>-3070.5</c:v>
                </c:pt>
                <c:pt idx="14">
                  <c:v>-1637</c:v>
                </c:pt>
                <c:pt idx="15">
                  <c:v>-101</c:v>
                </c:pt>
                <c:pt idx="16">
                  <c:v>0</c:v>
                </c:pt>
                <c:pt idx="17">
                  <c:v>1094</c:v>
                </c:pt>
                <c:pt idx="18">
                  <c:v>1094.5</c:v>
                </c:pt>
                <c:pt idx="19">
                  <c:v>2505.5</c:v>
                </c:pt>
                <c:pt idx="20">
                  <c:v>3730</c:v>
                </c:pt>
                <c:pt idx="21">
                  <c:v>3907.5</c:v>
                </c:pt>
                <c:pt idx="22">
                  <c:v>4056.5</c:v>
                </c:pt>
                <c:pt idx="23">
                  <c:v>5150</c:v>
                </c:pt>
                <c:pt idx="24">
                  <c:v>5269.5</c:v>
                </c:pt>
                <c:pt idx="25">
                  <c:v>5269.5</c:v>
                </c:pt>
                <c:pt idx="26">
                  <c:v>5270</c:v>
                </c:pt>
                <c:pt idx="27">
                  <c:v>5332</c:v>
                </c:pt>
                <c:pt idx="28">
                  <c:v>5332.5</c:v>
                </c:pt>
                <c:pt idx="29">
                  <c:v>5392</c:v>
                </c:pt>
                <c:pt idx="30">
                  <c:v>5446</c:v>
                </c:pt>
                <c:pt idx="31">
                  <c:v>5446.5</c:v>
                </c:pt>
                <c:pt idx="32">
                  <c:v>5549</c:v>
                </c:pt>
                <c:pt idx="33">
                  <c:v>7012</c:v>
                </c:pt>
                <c:pt idx="34">
                  <c:v>7843</c:v>
                </c:pt>
                <c:pt idx="35">
                  <c:v>7843.5</c:v>
                </c:pt>
                <c:pt idx="36">
                  <c:v>7863</c:v>
                </c:pt>
                <c:pt idx="37">
                  <c:v>7979</c:v>
                </c:pt>
                <c:pt idx="38">
                  <c:v>7979.5</c:v>
                </c:pt>
                <c:pt idx="39">
                  <c:v>8092.5</c:v>
                </c:pt>
                <c:pt idx="40">
                  <c:v>9185</c:v>
                </c:pt>
                <c:pt idx="41">
                  <c:v>9193.5</c:v>
                </c:pt>
                <c:pt idx="42">
                  <c:v>9276.5</c:v>
                </c:pt>
                <c:pt idx="43">
                  <c:v>9277</c:v>
                </c:pt>
                <c:pt idx="44">
                  <c:v>9406</c:v>
                </c:pt>
                <c:pt idx="45">
                  <c:v>11890</c:v>
                </c:pt>
                <c:pt idx="46">
                  <c:v>11890.5</c:v>
                </c:pt>
                <c:pt idx="47">
                  <c:v>13349</c:v>
                </c:pt>
                <c:pt idx="48">
                  <c:v>13349.5</c:v>
                </c:pt>
                <c:pt idx="49">
                  <c:v>14668.5</c:v>
                </c:pt>
                <c:pt idx="50">
                  <c:v>14669</c:v>
                </c:pt>
                <c:pt idx="51">
                  <c:v>15933</c:v>
                </c:pt>
                <c:pt idx="52">
                  <c:v>15933.5</c:v>
                </c:pt>
                <c:pt idx="53">
                  <c:v>15934</c:v>
                </c:pt>
                <c:pt idx="54">
                  <c:v>15992.5</c:v>
                </c:pt>
                <c:pt idx="55">
                  <c:v>17407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-6.9504409159078073E-2</c:v>
                </c:pt>
                <c:pt idx="16">
                  <c:v>-3.5695021168586472E-2</c:v>
                </c:pt>
                <c:pt idx="33">
                  <c:v>-6.500830097922454E-3</c:v>
                </c:pt>
                <c:pt idx="34">
                  <c:v>-3.0409937060625267E-3</c:v>
                </c:pt>
                <c:pt idx="35">
                  <c:v>-3.03891197538151E-3</c:v>
                </c:pt>
                <c:pt idx="36">
                  <c:v>-2.9577244788216162E-3</c:v>
                </c:pt>
                <c:pt idx="37">
                  <c:v>-2.4747629608243213E-3</c:v>
                </c:pt>
                <c:pt idx="38">
                  <c:v>-2.4726812301432977E-3</c:v>
                </c:pt>
                <c:pt idx="39">
                  <c:v>-2.0022100962321446E-3</c:v>
                </c:pt>
                <c:pt idx="40">
                  <c:v>2.5463714418027181E-3</c:v>
                </c:pt>
                <c:pt idx="41">
                  <c:v>2.5817608633801059E-3</c:v>
                </c:pt>
                <c:pt idx="42">
                  <c:v>2.9273281564298897E-3</c:v>
                </c:pt>
                <c:pt idx="43">
                  <c:v>2.9294098871109134E-3</c:v>
                </c:pt>
                <c:pt idx="44">
                  <c:v>3.4664964028148018E-3</c:v>
                </c:pt>
                <c:pt idx="45">
                  <c:v>1.3808534426136172E-2</c:v>
                </c:pt>
                <c:pt idx="46">
                  <c:v>1.3810616156817189E-2</c:v>
                </c:pt>
                <c:pt idx="47">
                  <c:v>1.9883024553360752E-2</c:v>
                </c:pt>
                <c:pt idx="48">
                  <c:v>1.9885106284041776E-2</c:v>
                </c:pt>
                <c:pt idx="49">
                  <c:v>2.5376711820579975E-2</c:v>
                </c:pt>
                <c:pt idx="50">
                  <c:v>2.5378793551260999E-2</c:v>
                </c:pt>
                <c:pt idx="51">
                  <c:v>3.0641408712886689E-2</c:v>
                </c:pt>
                <c:pt idx="52">
                  <c:v>3.0643490443567706E-2</c:v>
                </c:pt>
                <c:pt idx="53">
                  <c:v>3.0645572174248736E-2</c:v>
                </c:pt>
                <c:pt idx="54">
                  <c:v>3.0889134663928397E-2</c:v>
                </c:pt>
                <c:pt idx="55">
                  <c:v>3.677835076054195E-2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3-4BD7-AB4F-A9198271B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871888"/>
        <c:axId val="1"/>
      </c:scatterChart>
      <c:valAx>
        <c:axId val="41887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87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518092-0930-127C-EAF4-A1CE9C961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894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875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12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23</v>
      </c>
      <c r="B2" t="s">
        <v>43</v>
      </c>
      <c r="C2" s="3"/>
    </row>
    <row r="3" spans="1:6" ht="13.5" thickBot="1"/>
    <row r="4" spans="1:6" ht="13.5" thickBot="1">
      <c r="A4" s="33" t="s">
        <v>34</v>
      </c>
      <c r="C4" s="24">
        <v>52308.487300000001</v>
      </c>
      <c r="D4" s="25">
        <v>0.2720494</v>
      </c>
    </row>
    <row r="5" spans="1:6">
      <c r="A5" s="9" t="s">
        <v>28</v>
      </c>
      <c r="B5" s="10"/>
      <c r="C5" s="11">
        <v>-9.5</v>
      </c>
      <c r="D5" s="10" t="s">
        <v>29</v>
      </c>
    </row>
    <row r="6" spans="1:6">
      <c r="A6" s="5" t="s">
        <v>1</v>
      </c>
    </row>
    <row r="7" spans="1:6">
      <c r="A7" t="s">
        <v>2</v>
      </c>
      <c r="C7">
        <v>53490.813300000002</v>
      </c>
      <c r="D7" s="67" t="s">
        <v>184</v>
      </c>
    </row>
    <row r="8" spans="1:6">
      <c r="A8" t="s">
        <v>3</v>
      </c>
      <c r="C8">
        <v>0.27204830000000002</v>
      </c>
      <c r="D8" s="67" t="s">
        <v>184</v>
      </c>
    </row>
    <row r="9" spans="1:6">
      <c r="A9" s="22" t="s">
        <v>32</v>
      </c>
      <c r="B9" s="23">
        <v>60</v>
      </c>
      <c r="C9" s="20" t="str">
        <f>"F"&amp;B9</f>
        <v>F60</v>
      </c>
      <c r="D9" s="21" t="str">
        <f>"G"&amp;B9</f>
        <v>G60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19">
        <f ca="1">INTERCEPT(INDIRECT($D$9):G992,INDIRECT($C$9):F992)</f>
        <v>-3.5695021168586472E-2</v>
      </c>
      <c r="D11" s="3"/>
      <c r="E11" s="10"/>
    </row>
    <row r="12" spans="1:6">
      <c r="A12" s="10" t="s">
        <v>16</v>
      </c>
      <c r="B12" s="10"/>
      <c r="C12" s="19">
        <f ca="1">SLOPE(INDIRECT($D$9):G992,INDIRECT($C$9):F992)</f>
        <v>4.1634613620456384E-6</v>
      </c>
      <c r="D12" s="3"/>
      <c r="E12" s="10"/>
    </row>
    <row r="13" spans="1:6">
      <c r="A13" s="10" t="s">
        <v>18</v>
      </c>
      <c r="B13" s="10"/>
      <c r="C13" s="3" t="s">
        <v>13</v>
      </c>
      <c r="E13" s="68" t="s">
        <v>182</v>
      </c>
      <c r="F13" s="69" t="s">
        <v>183</v>
      </c>
    </row>
    <row r="14" spans="1:6">
      <c r="A14" s="10"/>
      <c r="B14" s="10"/>
      <c r="C14" s="10"/>
      <c r="E14" s="70" t="s">
        <v>47</v>
      </c>
      <c r="F14" s="71">
        <v>1</v>
      </c>
    </row>
    <row r="15" spans="1:6">
      <c r="A15" s="12" t="s">
        <v>17</v>
      </c>
      <c r="B15" s="10"/>
      <c r="C15" s="13">
        <f ca="1">(C7+C11)+(C8+C12)*INT(MAX(F21:F3533))</f>
        <v>58226.39483645076</v>
      </c>
      <c r="E15" s="70" t="s">
        <v>30</v>
      </c>
      <c r="F15" s="72">
        <f ca="1">NOW()+15018.5+$C$5/24</f>
        <v>60518.845247916666</v>
      </c>
    </row>
    <row r="16" spans="1:6">
      <c r="A16" s="15" t="s">
        <v>4</v>
      </c>
      <c r="B16" s="10"/>
      <c r="C16" s="16">
        <f ca="1">+C8+C12</f>
        <v>0.27205246346136208</v>
      </c>
      <c r="E16" s="70" t="s">
        <v>48</v>
      </c>
      <c r="F16" s="72">
        <f ca="1">ROUND(2*(F15-$C$7)/$C$8,0)/2+F14</f>
        <v>25835</v>
      </c>
    </row>
    <row r="17" spans="1:17" ht="13.5" thickBot="1">
      <c r="A17" s="14" t="s">
        <v>27</v>
      </c>
      <c r="B17" s="10"/>
      <c r="C17" s="10">
        <f>COUNT(C21:C2191)</f>
        <v>56</v>
      </c>
      <c r="E17" s="70" t="s">
        <v>31</v>
      </c>
      <c r="F17" s="73">
        <f ca="1">ROUND(2*(F15-$C$15)/$C$16,0)/2+F14</f>
        <v>8427.5</v>
      </c>
    </row>
    <row r="18" spans="1:17" ht="14.25" thickTop="1" thickBot="1">
      <c r="A18" s="15" t="s">
        <v>5</v>
      </c>
      <c r="B18" s="10"/>
      <c r="C18" s="17">
        <f ca="1">+C15</f>
        <v>58226.39483645076</v>
      </c>
      <c r="D18" s="18">
        <f ca="1">+C16</f>
        <v>0.27205246346136208</v>
      </c>
      <c r="E18" s="77" t="s">
        <v>180</v>
      </c>
      <c r="F18" s="74">
        <f ca="1">+$C$15+$C$16*$F$17-15018.5-$C$5/24</f>
        <v>45501.012805604725</v>
      </c>
    </row>
    <row r="19" spans="1:17" ht="13.5" thickTop="1">
      <c r="E19" s="75" t="s">
        <v>181</v>
      </c>
      <c r="F19" s="76">
        <f ca="1">+($C$15+$C$16*$F$17)-($C$16/2)-15018.5-$C$5/24</f>
        <v>45500.876779372993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>
      <c r="A21" t="s">
        <v>35</v>
      </c>
      <c r="B21" s="26" t="s">
        <v>37</v>
      </c>
      <c r="C21" s="27">
        <v>51281.6391</v>
      </c>
      <c r="D21" s="27">
        <v>6.9999999999999999E-4</v>
      </c>
      <c r="E21">
        <f t="shared" ref="E21:E52" si="0">+(C21-C$7)/C$8</f>
        <v>-8120.5219808394359</v>
      </c>
      <c r="F21">
        <f t="shared" ref="F21:F52" si="1">ROUND(2*E21,0)/2</f>
        <v>-8120.5</v>
      </c>
      <c r="G21">
        <f t="shared" ref="G21:G52" si="2">+C21-(C$7+F21*C$8)</f>
        <v>-5.9798500005854294E-3</v>
      </c>
      <c r="K21">
        <f t="shared" ref="K21:K33" si="3">+G21</f>
        <v>-5.9798500005854294E-3</v>
      </c>
      <c r="O21">
        <f ca="1">+C$11+C$12*$F21</f>
        <v>-6.9504409159078073E-2</v>
      </c>
      <c r="Q21" s="2">
        <f t="shared" ref="Q21:Q52" si="4">+C21-15018.5</f>
        <v>36263.1391</v>
      </c>
    </row>
    <row r="22" spans="1:17">
      <c r="A22" t="s">
        <v>35</v>
      </c>
      <c r="B22" s="26" t="s">
        <v>36</v>
      </c>
      <c r="C22" s="27">
        <v>51310.879999999997</v>
      </c>
      <c r="D22" s="27">
        <v>8.9999999999999998E-4</v>
      </c>
      <c r="E22">
        <f t="shared" si="0"/>
        <v>-8013.0377583686577</v>
      </c>
      <c r="F22">
        <f t="shared" si="1"/>
        <v>-8013</v>
      </c>
      <c r="G22">
        <f t="shared" si="2"/>
        <v>-1.0272100007568952E-2</v>
      </c>
      <c r="K22">
        <f t="shared" si="3"/>
        <v>-1.0272100007568952E-2</v>
      </c>
      <c r="Q22" s="2">
        <f t="shared" si="4"/>
        <v>36292.379999999997</v>
      </c>
    </row>
    <row r="23" spans="1:17">
      <c r="A23" t="s">
        <v>35</v>
      </c>
      <c r="B23" s="26" t="s">
        <v>37</v>
      </c>
      <c r="C23" s="27">
        <v>52285.497100000001</v>
      </c>
      <c r="D23" s="27">
        <v>5.1999999999999998E-3</v>
      </c>
      <c r="E23">
        <f t="shared" si="0"/>
        <v>-4430.5228152500895</v>
      </c>
      <c r="F23">
        <f t="shared" si="1"/>
        <v>-4430.5</v>
      </c>
      <c r="G23">
        <f t="shared" si="2"/>
        <v>-6.2068500046734698E-3</v>
      </c>
      <c r="K23">
        <f t="shared" si="3"/>
        <v>-6.2068500046734698E-3</v>
      </c>
      <c r="Q23" s="2">
        <f t="shared" si="4"/>
        <v>37266.997100000001</v>
      </c>
    </row>
    <row r="24" spans="1:17">
      <c r="A24" t="s">
        <v>35</v>
      </c>
      <c r="B24" s="26" t="s">
        <v>37</v>
      </c>
      <c r="C24" s="27">
        <v>52285.635000000002</v>
      </c>
      <c r="D24" s="27">
        <v>8.0000000000000004E-4</v>
      </c>
      <c r="E24">
        <f t="shared" si="0"/>
        <v>-4430.0159199671507</v>
      </c>
      <c r="F24">
        <f t="shared" si="1"/>
        <v>-4430</v>
      </c>
      <c r="G24">
        <f t="shared" si="2"/>
        <v>-4.3309999964549206E-3</v>
      </c>
      <c r="K24">
        <f t="shared" si="3"/>
        <v>-4.3309999964549206E-3</v>
      </c>
      <c r="Q24" s="2">
        <f t="shared" si="4"/>
        <v>37267.135000000002</v>
      </c>
    </row>
    <row r="25" spans="1:17">
      <c r="A25" t="s">
        <v>35</v>
      </c>
      <c r="B25" s="26" t="s">
        <v>36</v>
      </c>
      <c r="C25" s="27">
        <v>52287.539299999997</v>
      </c>
      <c r="D25" s="27">
        <v>1.4E-3</v>
      </c>
      <c r="E25">
        <f t="shared" si="0"/>
        <v>-4423.0160600158306</v>
      </c>
      <c r="F25">
        <f t="shared" si="1"/>
        <v>-4423</v>
      </c>
      <c r="G25">
        <f t="shared" si="2"/>
        <v>-4.3691000028047711E-3</v>
      </c>
      <c r="K25">
        <f t="shared" si="3"/>
        <v>-4.3691000028047711E-3</v>
      </c>
      <c r="Q25" s="2">
        <f t="shared" si="4"/>
        <v>37269.039299999997</v>
      </c>
    </row>
    <row r="26" spans="1:17">
      <c r="A26" t="s">
        <v>35</v>
      </c>
      <c r="B26" s="26" t="s">
        <v>36</v>
      </c>
      <c r="C26" s="27">
        <v>52296.518400000001</v>
      </c>
      <c r="D26" s="27">
        <v>1.1000000000000001E-3</v>
      </c>
      <c r="E26">
        <f t="shared" si="0"/>
        <v>-4390.0105238665365</v>
      </c>
      <c r="F26">
        <f t="shared" si="1"/>
        <v>-4390</v>
      </c>
      <c r="G26">
        <f t="shared" si="2"/>
        <v>-2.8630000015255064E-3</v>
      </c>
      <c r="K26">
        <f t="shared" si="3"/>
        <v>-2.8630000015255064E-3</v>
      </c>
      <c r="Q26" s="2">
        <f t="shared" si="4"/>
        <v>37278.018400000001</v>
      </c>
    </row>
    <row r="27" spans="1:17">
      <c r="A27" t="s">
        <v>35</v>
      </c>
      <c r="B27" s="26" t="s">
        <v>37</v>
      </c>
      <c r="C27" s="27">
        <v>52296.654499999997</v>
      </c>
      <c r="D27" s="27">
        <v>1.2999999999999999E-3</v>
      </c>
      <c r="E27">
        <f t="shared" si="0"/>
        <v>-4389.5102450557661</v>
      </c>
      <c r="F27">
        <f t="shared" si="1"/>
        <v>-4389.5</v>
      </c>
      <c r="G27">
        <f t="shared" si="2"/>
        <v>-2.7871500060427934E-3</v>
      </c>
      <c r="K27">
        <f t="shared" si="3"/>
        <v>-2.7871500060427934E-3</v>
      </c>
      <c r="Q27" s="2">
        <f t="shared" si="4"/>
        <v>37278.154499999997</v>
      </c>
    </row>
    <row r="28" spans="1:17">
      <c r="A28" t="s">
        <v>35</v>
      </c>
      <c r="B28" s="26" t="s">
        <v>36</v>
      </c>
      <c r="C28" s="27">
        <v>52308.485800000002</v>
      </c>
      <c r="D28" s="27">
        <v>1E-3</v>
      </c>
      <c r="E28">
        <f t="shared" si="0"/>
        <v>-4346.0205412053647</v>
      </c>
      <c r="F28">
        <f t="shared" si="1"/>
        <v>-4346</v>
      </c>
      <c r="G28">
        <f t="shared" si="2"/>
        <v>-5.5882000015117228E-3</v>
      </c>
      <c r="K28">
        <f t="shared" si="3"/>
        <v>-5.5882000015117228E-3</v>
      </c>
      <c r="Q28" s="2">
        <f t="shared" si="4"/>
        <v>37289.985800000002</v>
      </c>
    </row>
    <row r="29" spans="1:17">
      <c r="A29" t="s">
        <v>35</v>
      </c>
      <c r="B29" s="3"/>
      <c r="C29" s="8">
        <v>52308.487300000001</v>
      </c>
      <c r="D29" s="8" t="s">
        <v>13</v>
      </c>
      <c r="E29">
        <f t="shared" si="0"/>
        <v>-4346.0150274785792</v>
      </c>
      <c r="F29">
        <f t="shared" si="1"/>
        <v>-4346</v>
      </c>
      <c r="G29">
        <f t="shared" si="2"/>
        <v>-4.088200003025122E-3</v>
      </c>
      <c r="K29">
        <f t="shared" si="3"/>
        <v>-4.088200003025122E-3</v>
      </c>
      <c r="Q29" s="2">
        <f t="shared" si="4"/>
        <v>37289.987300000001</v>
      </c>
    </row>
    <row r="30" spans="1:17">
      <c r="A30" t="s">
        <v>35</v>
      </c>
      <c r="B30" s="26" t="s">
        <v>37</v>
      </c>
      <c r="C30" s="27">
        <v>52308.6253</v>
      </c>
      <c r="D30" s="27">
        <v>8.9999999999999998E-4</v>
      </c>
      <c r="E30">
        <f t="shared" si="0"/>
        <v>-4345.5077646138643</v>
      </c>
      <c r="F30">
        <f t="shared" si="1"/>
        <v>-4345.5</v>
      </c>
      <c r="G30">
        <f t="shared" si="2"/>
        <v>-2.1123500046087429E-3</v>
      </c>
      <c r="K30">
        <f t="shared" si="3"/>
        <v>-2.1123500046087429E-3</v>
      </c>
      <c r="Q30" s="2">
        <f t="shared" si="4"/>
        <v>37290.1253</v>
      </c>
    </row>
    <row r="31" spans="1:17">
      <c r="A31" t="s">
        <v>35</v>
      </c>
      <c r="B31" s="26" t="s">
        <v>36</v>
      </c>
      <c r="C31" s="27">
        <v>52344.3989</v>
      </c>
      <c r="D31" s="27">
        <v>1.1999999999999999E-3</v>
      </c>
      <c r="E31">
        <f t="shared" si="0"/>
        <v>-4214.0105268071929</v>
      </c>
      <c r="F31">
        <f t="shared" si="1"/>
        <v>-4214</v>
      </c>
      <c r="G31">
        <f t="shared" si="2"/>
        <v>-2.8638000003411435E-3</v>
      </c>
      <c r="K31">
        <f t="shared" si="3"/>
        <v>-2.8638000003411435E-3</v>
      </c>
      <c r="Q31" s="2">
        <f t="shared" si="4"/>
        <v>37325.8989</v>
      </c>
    </row>
    <row r="32" spans="1:17">
      <c r="A32" t="s">
        <v>35</v>
      </c>
      <c r="B32" s="26" t="s">
        <v>37</v>
      </c>
      <c r="C32" s="27">
        <v>52344.534</v>
      </c>
      <c r="D32" s="27">
        <v>4.0000000000000002E-4</v>
      </c>
      <c r="E32">
        <f t="shared" si="0"/>
        <v>-4213.513923814271</v>
      </c>
      <c r="F32">
        <f t="shared" si="1"/>
        <v>-4213.5</v>
      </c>
      <c r="G32">
        <f t="shared" si="2"/>
        <v>-3.7879500014241785E-3</v>
      </c>
      <c r="K32">
        <f t="shared" si="3"/>
        <v>-3.7879500014241785E-3</v>
      </c>
      <c r="Q32" s="2">
        <f t="shared" si="4"/>
        <v>37326.034</v>
      </c>
    </row>
    <row r="33" spans="1:17">
      <c r="A33" t="s">
        <v>35</v>
      </c>
      <c r="B33" s="26" t="s">
        <v>36</v>
      </c>
      <c r="C33" s="27">
        <v>52347.388800000001</v>
      </c>
      <c r="D33" s="27">
        <v>1.6999999999999999E-3</v>
      </c>
      <c r="E33">
        <f t="shared" si="0"/>
        <v>-4203.0201989867273</v>
      </c>
      <c r="F33">
        <f t="shared" si="1"/>
        <v>-4203</v>
      </c>
      <c r="G33">
        <f t="shared" si="2"/>
        <v>-5.4950999983702786E-3</v>
      </c>
      <c r="K33">
        <f t="shared" si="3"/>
        <v>-5.4950999983702786E-3</v>
      </c>
      <c r="Q33" s="2">
        <f t="shared" si="4"/>
        <v>37328.888800000001</v>
      </c>
    </row>
    <row r="34" spans="1:17">
      <c r="A34" s="28" t="s">
        <v>38</v>
      </c>
      <c r="B34" s="29" t="s">
        <v>36</v>
      </c>
      <c r="C34" s="28">
        <v>52655.489000000001</v>
      </c>
      <c r="D34" s="28">
        <v>2E-3</v>
      </c>
      <c r="E34">
        <f t="shared" si="0"/>
        <v>-3070.4999810695385</v>
      </c>
      <c r="F34">
        <f t="shared" si="1"/>
        <v>-3070.5</v>
      </c>
      <c r="G34">
        <f t="shared" si="2"/>
        <v>5.1500028348527849E-6</v>
      </c>
      <c r="I34">
        <f>+G34</f>
        <v>5.1500028348527849E-6</v>
      </c>
      <c r="Q34" s="2">
        <f t="shared" si="4"/>
        <v>37636.989000000001</v>
      </c>
    </row>
    <row r="35" spans="1:17">
      <c r="A35" s="30" t="s">
        <v>40</v>
      </c>
      <c r="B35" s="31" t="s">
        <v>36</v>
      </c>
      <c r="C35" s="30">
        <v>53045.468000000001</v>
      </c>
      <c r="D35" s="30">
        <v>3.0000000000000001E-3</v>
      </c>
      <c r="E35">
        <f t="shared" si="0"/>
        <v>-1637.0082077337033</v>
      </c>
      <c r="F35">
        <f t="shared" si="1"/>
        <v>-1637</v>
      </c>
      <c r="G35">
        <f t="shared" si="2"/>
        <v>-2.2328999984893017E-3</v>
      </c>
      <c r="K35">
        <f>+G35</f>
        <v>-2.2328999984893017E-3</v>
      </c>
      <c r="Q35" s="2">
        <f t="shared" si="4"/>
        <v>38026.968000000001</v>
      </c>
    </row>
    <row r="36" spans="1:17">
      <c r="A36" s="28" t="s">
        <v>41</v>
      </c>
      <c r="B36" s="29" t="s">
        <v>36</v>
      </c>
      <c r="C36" s="28">
        <v>53463.339200000002</v>
      </c>
      <c r="D36" s="32" t="s">
        <v>42</v>
      </c>
      <c r="E36">
        <f t="shared" si="0"/>
        <v>-100.98978747523675</v>
      </c>
      <c r="F36">
        <f t="shared" si="1"/>
        <v>-101</v>
      </c>
      <c r="G36">
        <f t="shared" si="2"/>
        <v>2.7783000041381456E-3</v>
      </c>
      <c r="K36">
        <f>+G36</f>
        <v>2.7783000041381456E-3</v>
      </c>
      <c r="Q36" s="2">
        <f t="shared" si="4"/>
        <v>38444.839200000002</v>
      </c>
    </row>
    <row r="37" spans="1:17">
      <c r="A37" t="str">
        <f>$D$7</f>
        <v>VSX</v>
      </c>
      <c r="B37" s="3"/>
      <c r="C37" s="8">
        <f>$C$7</f>
        <v>53490.813300000002</v>
      </c>
      <c r="D37" s="8"/>
      <c r="E37">
        <f t="shared" si="0"/>
        <v>0</v>
      </c>
      <c r="F37">
        <f t="shared" si="1"/>
        <v>0</v>
      </c>
      <c r="G37">
        <f t="shared" si="2"/>
        <v>0</v>
      </c>
      <c r="K37">
        <f>+G37</f>
        <v>0</v>
      </c>
      <c r="O37">
        <f ca="1">+C$11+C$12*$F37</f>
        <v>-3.5695021168586472E-2</v>
      </c>
      <c r="Q37" s="2">
        <f t="shared" si="4"/>
        <v>38472.313300000002</v>
      </c>
    </row>
    <row r="38" spans="1:17">
      <c r="A38" s="28" t="s">
        <v>39</v>
      </c>
      <c r="B38" s="29" t="s">
        <v>36</v>
      </c>
      <c r="C38" s="28">
        <v>53788.434300000001</v>
      </c>
      <c r="D38" s="28">
        <v>1.6000000000000001E-3</v>
      </c>
      <c r="E38">
        <f t="shared" si="0"/>
        <v>1094.0005873956909</v>
      </c>
      <c r="F38">
        <f t="shared" si="1"/>
        <v>1094</v>
      </c>
      <c r="G38">
        <f t="shared" si="2"/>
        <v>1.5980000171111897E-4</v>
      </c>
      <c r="J38">
        <f>+G38</f>
        <v>1.5980000171111897E-4</v>
      </c>
      <c r="Q38" s="2">
        <f t="shared" si="4"/>
        <v>38769.934300000001</v>
      </c>
    </row>
    <row r="39" spans="1:17">
      <c r="A39" s="28" t="s">
        <v>39</v>
      </c>
      <c r="B39" s="29" t="s">
        <v>37</v>
      </c>
      <c r="C39" s="28">
        <v>53788.57</v>
      </c>
      <c r="D39" s="28">
        <v>1E-3</v>
      </c>
      <c r="E39">
        <f t="shared" si="0"/>
        <v>1094.4993958793275</v>
      </c>
      <c r="F39">
        <f t="shared" si="1"/>
        <v>1094.5</v>
      </c>
      <c r="G39">
        <f t="shared" si="2"/>
        <v>-1.6434999997727573E-4</v>
      </c>
      <c r="J39">
        <f>+G39</f>
        <v>-1.6434999997727573E-4</v>
      </c>
      <c r="Q39" s="2">
        <f t="shared" si="4"/>
        <v>38770.07</v>
      </c>
    </row>
    <row r="40" spans="1:17">
      <c r="A40" s="30" t="s">
        <v>44</v>
      </c>
      <c r="B40" s="29" t="s">
        <v>37</v>
      </c>
      <c r="C40" s="28">
        <v>54172.433499999999</v>
      </c>
      <c r="D40" s="28">
        <v>1E-3</v>
      </c>
      <c r="E40">
        <f t="shared" si="0"/>
        <v>2505.5117050905942</v>
      </c>
      <c r="F40">
        <f t="shared" si="1"/>
        <v>2505.5</v>
      </c>
      <c r="G40">
        <f t="shared" si="2"/>
        <v>3.1843499964452349E-3</v>
      </c>
      <c r="K40">
        <f>+G40</f>
        <v>3.1843499964452349E-3</v>
      </c>
      <c r="Q40" s="2">
        <f t="shared" si="4"/>
        <v>39153.933499999999</v>
      </c>
    </row>
    <row r="41" spans="1:17">
      <c r="A41" s="30" t="s">
        <v>50</v>
      </c>
      <c r="B41" s="31" t="s">
        <v>36</v>
      </c>
      <c r="C41" s="30">
        <v>54505.554400000001</v>
      </c>
      <c r="D41" s="30">
        <v>5.0000000000000001E-4</v>
      </c>
      <c r="E41">
        <f t="shared" si="0"/>
        <v>3730.0034589446036</v>
      </c>
      <c r="F41">
        <f t="shared" si="1"/>
        <v>3730</v>
      </c>
      <c r="G41">
        <f t="shared" si="2"/>
        <v>9.4099999842001125E-4</v>
      </c>
      <c r="J41">
        <f>+G41</f>
        <v>9.4099999842001125E-4</v>
      </c>
      <c r="Q41" s="2">
        <f t="shared" si="4"/>
        <v>39487.054400000001</v>
      </c>
    </row>
    <row r="42" spans="1:17">
      <c r="A42" s="34" t="s">
        <v>45</v>
      </c>
      <c r="B42" s="29"/>
      <c r="C42" s="28">
        <v>54553.842799999999</v>
      </c>
      <c r="D42" s="28">
        <v>2.0000000000000001E-4</v>
      </c>
      <c r="E42">
        <f t="shared" si="0"/>
        <v>3907.5028221091507</v>
      </c>
      <c r="F42">
        <f t="shared" si="1"/>
        <v>3907.5</v>
      </c>
      <c r="G42">
        <f t="shared" si="2"/>
        <v>7.6774999615736306E-4</v>
      </c>
      <c r="K42">
        <f>+G42</f>
        <v>7.6774999615736306E-4</v>
      </c>
      <c r="Q42" s="2">
        <f t="shared" si="4"/>
        <v>39535.342799999999</v>
      </c>
    </row>
    <row r="43" spans="1:17">
      <c r="A43" s="30" t="s">
        <v>50</v>
      </c>
      <c r="B43" s="31" t="s">
        <v>37</v>
      </c>
      <c r="C43" s="30">
        <v>54594.378100000002</v>
      </c>
      <c r="D43" s="30">
        <v>2.0000000000000001E-4</v>
      </c>
      <c r="E43">
        <f t="shared" si="0"/>
        <v>4056.5032018211473</v>
      </c>
      <c r="F43">
        <f t="shared" si="1"/>
        <v>4056.5</v>
      </c>
      <c r="G43">
        <f t="shared" si="2"/>
        <v>8.7104999693110585E-4</v>
      </c>
      <c r="J43">
        <f>+G43</f>
        <v>8.7104999693110585E-4</v>
      </c>
      <c r="Q43" s="2">
        <f t="shared" si="4"/>
        <v>39575.878100000002</v>
      </c>
    </row>
    <row r="44" spans="1:17">
      <c r="A44" s="28" t="s">
        <v>46</v>
      </c>
      <c r="B44" s="29" t="s">
        <v>36</v>
      </c>
      <c r="C44" s="28">
        <v>54891.862800000003</v>
      </c>
      <c r="D44" s="28">
        <v>1.2999999999999999E-3</v>
      </c>
      <c r="E44">
        <f t="shared" si="0"/>
        <v>5150.0027752424876</v>
      </c>
      <c r="F44">
        <f t="shared" si="1"/>
        <v>5150</v>
      </c>
      <c r="G44">
        <f t="shared" si="2"/>
        <v>7.5500000093597919E-4</v>
      </c>
      <c r="K44">
        <f>+G44</f>
        <v>7.5500000093597919E-4</v>
      </c>
      <c r="Q44" s="2">
        <f t="shared" si="4"/>
        <v>39873.362800000003</v>
      </c>
    </row>
    <row r="45" spans="1:17">
      <c r="A45" s="30" t="s">
        <v>50</v>
      </c>
      <c r="B45" s="31" t="s">
        <v>37</v>
      </c>
      <c r="C45" s="30">
        <v>54924.3727</v>
      </c>
      <c r="D45" s="30">
        <v>1.4E-3</v>
      </c>
      <c r="E45">
        <f t="shared" si="0"/>
        <v>5269.5032462985364</v>
      </c>
      <c r="F45">
        <f t="shared" si="1"/>
        <v>5269.5</v>
      </c>
      <c r="G45">
        <f t="shared" si="2"/>
        <v>8.8314999447902665E-4</v>
      </c>
      <c r="J45">
        <f>+G45</f>
        <v>8.8314999447902665E-4</v>
      </c>
      <c r="Q45" s="2">
        <f t="shared" si="4"/>
        <v>39905.8727</v>
      </c>
    </row>
    <row r="46" spans="1:17">
      <c r="A46" s="49" t="s">
        <v>78</v>
      </c>
      <c r="B46" s="51" t="s">
        <v>37</v>
      </c>
      <c r="C46" s="50">
        <v>54924.378100000002</v>
      </c>
      <c r="D46" s="50" t="s">
        <v>66</v>
      </c>
      <c r="E46">
        <f t="shared" si="0"/>
        <v>5269.5230957149888</v>
      </c>
      <c r="F46">
        <f t="shared" si="1"/>
        <v>5269.5</v>
      </c>
      <c r="G46">
        <f t="shared" si="2"/>
        <v>6.2831499963067472E-3</v>
      </c>
      <c r="K46">
        <f>+G46</f>
        <v>6.2831499963067472E-3</v>
      </c>
      <c r="Q46" s="2">
        <f t="shared" si="4"/>
        <v>39905.878100000002</v>
      </c>
    </row>
    <row r="47" spans="1:17">
      <c r="A47" s="30" t="s">
        <v>50</v>
      </c>
      <c r="B47" s="31" t="s">
        <v>36</v>
      </c>
      <c r="C47" s="30">
        <v>54924.508500000004</v>
      </c>
      <c r="D47" s="30">
        <v>5.0000000000000001E-4</v>
      </c>
      <c r="E47">
        <f t="shared" si="0"/>
        <v>5270.0024223639766</v>
      </c>
      <c r="F47">
        <f t="shared" si="1"/>
        <v>5270</v>
      </c>
      <c r="G47">
        <f t="shared" si="2"/>
        <v>6.5900000481633469E-4</v>
      </c>
      <c r="J47">
        <f>+G47</f>
        <v>6.5900000481633469E-4</v>
      </c>
      <c r="Q47" s="2">
        <f t="shared" si="4"/>
        <v>39906.008500000004</v>
      </c>
    </row>
    <row r="48" spans="1:17">
      <c r="A48" s="30" t="s">
        <v>50</v>
      </c>
      <c r="B48" s="31" t="s">
        <v>36</v>
      </c>
      <c r="C48" s="30">
        <v>54941.374600000003</v>
      </c>
      <c r="D48" s="30">
        <v>1.5E-3</v>
      </c>
      <c r="E48">
        <f t="shared" si="0"/>
        <v>5331.999133977316</v>
      </c>
      <c r="F48">
        <f t="shared" si="1"/>
        <v>5332</v>
      </c>
      <c r="G48">
        <f t="shared" si="2"/>
        <v>-2.3559999681310728E-4</v>
      </c>
      <c r="J48">
        <f>+G48</f>
        <v>-2.3559999681310728E-4</v>
      </c>
      <c r="Q48" s="2">
        <f t="shared" si="4"/>
        <v>39922.874600000003</v>
      </c>
    </row>
    <row r="49" spans="1:17">
      <c r="A49" s="30" t="s">
        <v>50</v>
      </c>
      <c r="B49" s="31" t="s">
        <v>37</v>
      </c>
      <c r="C49" s="30">
        <v>54941.5118</v>
      </c>
      <c r="D49" s="30">
        <v>1.2999999999999999E-3</v>
      </c>
      <c r="E49">
        <f t="shared" si="0"/>
        <v>5332.5034561877374</v>
      </c>
      <c r="F49">
        <f t="shared" si="1"/>
        <v>5332.5</v>
      </c>
      <c r="G49">
        <f t="shared" si="2"/>
        <v>9.4024999998509884E-4</v>
      </c>
      <c r="J49">
        <f>+G49</f>
        <v>9.4024999998509884E-4</v>
      </c>
      <c r="Q49" s="2">
        <f t="shared" si="4"/>
        <v>39923.0118</v>
      </c>
    </row>
    <row r="50" spans="1:17">
      <c r="A50" s="28" t="s">
        <v>46</v>
      </c>
      <c r="B50" s="29" t="s">
        <v>36</v>
      </c>
      <c r="C50" s="28">
        <v>54957.697500000002</v>
      </c>
      <c r="D50" s="28">
        <v>5.0000000000000001E-4</v>
      </c>
      <c r="E50">
        <f t="shared" si="0"/>
        <v>5391.999141328949</v>
      </c>
      <c r="F50">
        <f t="shared" si="1"/>
        <v>5392</v>
      </c>
      <c r="G50">
        <f t="shared" si="2"/>
        <v>-2.3359999613603577E-4</v>
      </c>
      <c r="K50">
        <f>+G50</f>
        <v>-2.3359999613603577E-4</v>
      </c>
      <c r="Q50" s="2">
        <f t="shared" si="4"/>
        <v>39939.197500000002</v>
      </c>
    </row>
    <row r="51" spans="1:17">
      <c r="A51" s="49" t="s">
        <v>115</v>
      </c>
      <c r="B51" s="51" t="s">
        <v>36</v>
      </c>
      <c r="C51" s="50">
        <v>54972.389799999997</v>
      </c>
      <c r="D51" s="50" t="s">
        <v>66</v>
      </c>
      <c r="E51">
        <f t="shared" si="0"/>
        <v>5446.0053600775873</v>
      </c>
      <c r="F51">
        <f t="shared" si="1"/>
        <v>5446</v>
      </c>
      <c r="G51">
        <f t="shared" si="2"/>
        <v>1.4581999930669554E-3</v>
      </c>
      <c r="K51">
        <f>+G51</f>
        <v>1.4581999930669554E-3</v>
      </c>
      <c r="Q51" s="2">
        <f t="shared" si="4"/>
        <v>39953.889799999997</v>
      </c>
    </row>
    <row r="52" spans="1:17">
      <c r="A52" s="49" t="s">
        <v>115</v>
      </c>
      <c r="B52" s="51" t="s">
        <v>37</v>
      </c>
      <c r="C52" s="50">
        <v>54972.525099999999</v>
      </c>
      <c r="D52" s="50" t="s">
        <v>66</v>
      </c>
      <c r="E52">
        <f t="shared" si="0"/>
        <v>5446.5026982340896</v>
      </c>
      <c r="F52">
        <f t="shared" si="1"/>
        <v>5446.5</v>
      </c>
      <c r="G52">
        <f t="shared" si="2"/>
        <v>7.3404999420745298E-4</v>
      </c>
      <c r="K52">
        <f>+G52</f>
        <v>7.3404999420745298E-4</v>
      </c>
      <c r="Q52" s="2">
        <f t="shared" si="4"/>
        <v>39954.025099999999</v>
      </c>
    </row>
    <row r="53" spans="1:17">
      <c r="A53" s="28" t="s">
        <v>46</v>
      </c>
      <c r="B53" s="29" t="s">
        <v>36</v>
      </c>
      <c r="C53" s="28">
        <v>55000.411</v>
      </c>
      <c r="D53" s="28">
        <v>6.9999999999999999E-4</v>
      </c>
      <c r="E53">
        <f t="shared" ref="E53:E76" si="5">+(C53-C$7)/C$8</f>
        <v>5549.0061875041984</v>
      </c>
      <c r="F53">
        <f t="shared" ref="F53:F76" si="6">ROUND(2*E53,0)/2</f>
        <v>5549</v>
      </c>
      <c r="G53">
        <f t="shared" ref="G53:G76" si="7">+C53-(C$7+F53*C$8)</f>
        <v>1.6832999972393736E-3</v>
      </c>
      <c r="K53">
        <f>+G53</f>
        <v>1.6832999972393736E-3</v>
      </c>
      <c r="Q53" s="2">
        <f t="shared" ref="Q53:Q76" si="8">+C53-15018.5</f>
        <v>39981.911</v>
      </c>
    </row>
    <row r="54" spans="1:17">
      <c r="A54" s="35" t="s">
        <v>49</v>
      </c>
      <c r="B54" s="29" t="s">
        <v>36</v>
      </c>
      <c r="C54" s="28">
        <v>55398.416799999999</v>
      </c>
      <c r="D54" s="28">
        <v>2.9999999999999997E-4</v>
      </c>
      <c r="E54">
        <f t="shared" si="5"/>
        <v>7012.003015640963</v>
      </c>
      <c r="F54">
        <f t="shared" si="6"/>
        <v>7012</v>
      </c>
      <c r="G54">
        <f t="shared" si="7"/>
        <v>8.2039999688277021E-4</v>
      </c>
      <c r="K54">
        <f>+G54</f>
        <v>8.2039999688277021E-4</v>
      </c>
      <c r="O54">
        <f t="shared" ref="O54:O76" ca="1" si="9">+C$11+C$12*$F54</f>
        <v>-6.500830097922454E-3</v>
      </c>
      <c r="Q54" s="2">
        <f t="shared" si="8"/>
        <v>40379.916799999999</v>
      </c>
    </row>
    <row r="55" spans="1:17">
      <c r="A55" s="30" t="s">
        <v>52</v>
      </c>
      <c r="B55" s="31" t="s">
        <v>36</v>
      </c>
      <c r="C55" s="30">
        <v>55624.489099999999</v>
      </c>
      <c r="D55" s="30">
        <v>2E-3</v>
      </c>
      <c r="E55">
        <f t="shared" si="5"/>
        <v>7843.0036136965282</v>
      </c>
      <c r="F55">
        <f t="shared" si="6"/>
        <v>7843</v>
      </c>
      <c r="G55">
        <f t="shared" si="7"/>
        <v>9.8309999884804711E-4</v>
      </c>
      <c r="J55">
        <f>+G55</f>
        <v>9.8309999884804711E-4</v>
      </c>
      <c r="O55">
        <f t="shared" ca="1" si="9"/>
        <v>-3.0409937060625267E-3</v>
      </c>
      <c r="Q55" s="2">
        <f t="shared" si="8"/>
        <v>40605.989099999999</v>
      </c>
    </row>
    <row r="56" spans="1:17">
      <c r="A56" s="30" t="s">
        <v>52</v>
      </c>
      <c r="B56" s="31" t="s">
        <v>37</v>
      </c>
      <c r="C56" s="30">
        <v>55624.626300000004</v>
      </c>
      <c r="D56" s="30">
        <v>4.0000000000000002E-4</v>
      </c>
      <c r="E56">
        <f t="shared" si="5"/>
        <v>7843.5079359069759</v>
      </c>
      <c r="F56">
        <f t="shared" si="6"/>
        <v>7843.5</v>
      </c>
      <c r="G56">
        <f t="shared" si="7"/>
        <v>2.1589500029222108E-3</v>
      </c>
      <c r="J56">
        <f>+G56</f>
        <v>2.1589500029222108E-3</v>
      </c>
      <c r="O56">
        <f t="shared" ca="1" si="9"/>
        <v>-3.03891197538151E-3</v>
      </c>
      <c r="Q56" s="2">
        <f t="shared" si="8"/>
        <v>40606.126300000004</v>
      </c>
    </row>
    <row r="57" spans="1:17">
      <c r="A57" s="30" t="s">
        <v>51</v>
      </c>
      <c r="B57" s="31" t="s">
        <v>36</v>
      </c>
      <c r="C57" s="30">
        <v>55629.929400000001</v>
      </c>
      <c r="D57" s="30">
        <v>5.9999999999999995E-4</v>
      </c>
      <c r="E57">
        <f t="shared" si="5"/>
        <v>7863.0011656018405</v>
      </c>
      <c r="F57">
        <f t="shared" si="6"/>
        <v>7863</v>
      </c>
      <c r="G57">
        <f t="shared" si="7"/>
        <v>3.1709999893791974E-4</v>
      </c>
      <c r="K57">
        <f>+G57</f>
        <v>3.1709999893791974E-4</v>
      </c>
      <c r="O57">
        <f t="shared" ca="1" si="9"/>
        <v>-2.9577244788216162E-3</v>
      </c>
      <c r="Q57" s="2">
        <f t="shared" si="8"/>
        <v>40611.429400000001</v>
      </c>
    </row>
    <row r="58" spans="1:17">
      <c r="A58" s="30" t="s">
        <v>52</v>
      </c>
      <c r="B58" s="31" t="s">
        <v>36</v>
      </c>
      <c r="C58" s="30">
        <v>55661.486799999999</v>
      </c>
      <c r="D58" s="30">
        <v>3.3E-3</v>
      </c>
      <c r="E58">
        <f t="shared" si="5"/>
        <v>7979.0004201459706</v>
      </c>
      <c r="F58">
        <f t="shared" si="6"/>
        <v>7979</v>
      </c>
      <c r="G58">
        <f t="shared" si="7"/>
        <v>1.142999972216785E-4</v>
      </c>
      <c r="J58">
        <f>+G58</f>
        <v>1.142999972216785E-4</v>
      </c>
      <c r="O58">
        <f t="shared" ca="1" si="9"/>
        <v>-2.4747629608243213E-3</v>
      </c>
      <c r="Q58" s="2">
        <f t="shared" si="8"/>
        <v>40642.986799999999</v>
      </c>
    </row>
    <row r="59" spans="1:17">
      <c r="A59" s="30" t="s">
        <v>52</v>
      </c>
      <c r="B59" s="31" t="s">
        <v>37</v>
      </c>
      <c r="C59" s="30">
        <v>55661.625099999997</v>
      </c>
      <c r="D59" s="30">
        <v>5.9999999999999995E-4</v>
      </c>
      <c r="E59">
        <f t="shared" si="5"/>
        <v>7979.5087857560429</v>
      </c>
      <c r="F59">
        <f t="shared" si="6"/>
        <v>7979.5</v>
      </c>
      <c r="G59">
        <f t="shared" si="7"/>
        <v>2.3901499953353778E-3</v>
      </c>
      <c r="J59">
        <f>+G59</f>
        <v>2.3901499953353778E-3</v>
      </c>
      <c r="O59">
        <f t="shared" ca="1" si="9"/>
        <v>-2.4726812301432977E-3</v>
      </c>
      <c r="Q59" s="2">
        <f t="shared" si="8"/>
        <v>40643.125099999997</v>
      </c>
    </row>
    <row r="60" spans="1:17">
      <c r="A60" s="52" t="s">
        <v>54</v>
      </c>
      <c r="B60" s="53" t="s">
        <v>37</v>
      </c>
      <c r="C60" s="54">
        <v>55692.365749999997</v>
      </c>
      <c r="D60" s="54">
        <v>2.0000000000000001E-4</v>
      </c>
      <c r="E60">
        <f t="shared" si="5"/>
        <v>8092.5058160627923</v>
      </c>
      <c r="F60">
        <f t="shared" si="6"/>
        <v>8092.5</v>
      </c>
      <c r="G60">
        <f t="shared" si="7"/>
        <v>1.5822499990463257E-3</v>
      </c>
      <c r="K60">
        <f t="shared" ref="K60:K76" si="10">+G60</f>
        <v>1.5822499990463257E-3</v>
      </c>
      <c r="O60">
        <f t="shared" ca="1" si="9"/>
        <v>-2.0022100962321446E-3</v>
      </c>
      <c r="Q60" s="2">
        <f t="shared" si="8"/>
        <v>40673.865749999997</v>
      </c>
    </row>
    <row r="61" spans="1:17">
      <c r="A61" s="52" t="s">
        <v>54</v>
      </c>
      <c r="B61" s="53" t="s">
        <v>36</v>
      </c>
      <c r="C61" s="54">
        <v>55989.579109999999</v>
      </c>
      <c r="D61" s="54">
        <v>2.0000000000000001E-4</v>
      </c>
      <c r="E61">
        <f t="shared" si="5"/>
        <v>9185.0079930659267</v>
      </c>
      <c r="F61">
        <f t="shared" si="6"/>
        <v>9185</v>
      </c>
      <c r="G61">
        <f t="shared" si="7"/>
        <v>2.1744999976363033E-3</v>
      </c>
      <c r="K61">
        <f t="shared" si="10"/>
        <v>2.1744999976363033E-3</v>
      </c>
      <c r="O61">
        <f t="shared" ca="1" si="9"/>
        <v>2.5463714418027181E-3</v>
      </c>
      <c r="Q61" s="2">
        <f t="shared" si="8"/>
        <v>40971.079109999999</v>
      </c>
    </row>
    <row r="62" spans="1:17">
      <c r="A62" s="28" t="s">
        <v>53</v>
      </c>
      <c r="B62" s="29" t="s">
        <v>37</v>
      </c>
      <c r="C62" s="28">
        <v>55991.893600000003</v>
      </c>
      <c r="D62" s="28">
        <v>4.0000000000000002E-4</v>
      </c>
      <c r="E62">
        <f t="shared" si="5"/>
        <v>9193.515636745391</v>
      </c>
      <c r="F62">
        <f t="shared" si="6"/>
        <v>9193.5</v>
      </c>
      <c r="G62">
        <f t="shared" si="7"/>
        <v>4.2539499991107732E-3</v>
      </c>
      <c r="K62">
        <f t="shared" si="10"/>
        <v>4.2539499991107732E-3</v>
      </c>
      <c r="O62">
        <f t="shared" ca="1" si="9"/>
        <v>2.5817608633801059E-3</v>
      </c>
      <c r="Q62" s="2">
        <f t="shared" si="8"/>
        <v>40973.393600000003</v>
      </c>
    </row>
    <row r="63" spans="1:17">
      <c r="A63" s="52" t="s">
        <v>54</v>
      </c>
      <c r="B63" s="53" t="s">
        <v>37</v>
      </c>
      <c r="C63" s="54">
        <v>56014.474719999998</v>
      </c>
      <c r="D63" s="54">
        <v>2.9999999999999997E-4</v>
      </c>
      <c r="E63">
        <f t="shared" si="5"/>
        <v>9276.5197209465987</v>
      </c>
      <c r="F63">
        <f t="shared" si="6"/>
        <v>9276.5</v>
      </c>
      <c r="G63">
        <f t="shared" si="7"/>
        <v>5.3650499976356514E-3</v>
      </c>
      <c r="K63">
        <f t="shared" si="10"/>
        <v>5.3650499976356514E-3</v>
      </c>
      <c r="O63">
        <f t="shared" ca="1" si="9"/>
        <v>2.9273281564298897E-3</v>
      </c>
      <c r="Q63" s="2">
        <f t="shared" si="8"/>
        <v>40995.974719999998</v>
      </c>
    </row>
    <row r="64" spans="1:17">
      <c r="A64" s="52" t="s">
        <v>54</v>
      </c>
      <c r="B64" s="53" t="s">
        <v>36</v>
      </c>
      <c r="C64" s="54">
        <v>56014.606930000002</v>
      </c>
      <c r="D64" s="54">
        <v>2.0000000000000001E-4</v>
      </c>
      <c r="E64">
        <f t="shared" si="5"/>
        <v>9277.0057008259191</v>
      </c>
      <c r="F64">
        <f t="shared" si="6"/>
        <v>9277</v>
      </c>
      <c r="G64">
        <f t="shared" si="7"/>
        <v>1.5509000004385598E-3</v>
      </c>
      <c r="K64">
        <f t="shared" si="10"/>
        <v>1.5509000004385598E-3</v>
      </c>
      <c r="O64">
        <f t="shared" ca="1" si="9"/>
        <v>2.9294098871109134E-3</v>
      </c>
      <c r="Q64" s="2">
        <f t="shared" si="8"/>
        <v>40996.106930000002</v>
      </c>
    </row>
    <row r="65" spans="1:17">
      <c r="A65" s="28" t="s">
        <v>53</v>
      </c>
      <c r="B65" s="29" t="s">
        <v>36</v>
      </c>
      <c r="C65" s="28">
        <v>56049.700199999999</v>
      </c>
      <c r="D65" s="28">
        <v>5.0000000000000001E-4</v>
      </c>
      <c r="E65">
        <f t="shared" si="5"/>
        <v>9406.0021694676925</v>
      </c>
      <c r="F65">
        <f t="shared" si="6"/>
        <v>9406</v>
      </c>
      <c r="G65">
        <f t="shared" si="7"/>
        <v>5.9019999753218144E-4</v>
      </c>
      <c r="K65">
        <f t="shared" si="10"/>
        <v>5.9019999753218144E-4</v>
      </c>
      <c r="O65">
        <f t="shared" ca="1" si="9"/>
        <v>3.4664964028148018E-3</v>
      </c>
      <c r="Q65" s="2">
        <f t="shared" si="8"/>
        <v>41031.200199999999</v>
      </c>
    </row>
    <row r="66" spans="1:17">
      <c r="A66" s="54" t="s">
        <v>55</v>
      </c>
      <c r="B66" s="53" t="s">
        <v>36</v>
      </c>
      <c r="C66" s="55">
        <v>56725.47827</v>
      </c>
      <c r="D66" s="54">
        <v>2.9999999999999997E-4</v>
      </c>
      <c r="E66">
        <f t="shared" si="5"/>
        <v>11890.039268762193</v>
      </c>
      <c r="F66">
        <f t="shared" si="6"/>
        <v>11890</v>
      </c>
      <c r="G66">
        <f t="shared" si="7"/>
        <v>1.0683000000426546E-2</v>
      </c>
      <c r="K66">
        <f t="shared" si="10"/>
        <v>1.0683000000426546E-2</v>
      </c>
      <c r="O66">
        <f t="shared" ca="1" si="9"/>
        <v>1.3808534426136172E-2</v>
      </c>
      <c r="Q66" s="2">
        <f t="shared" si="8"/>
        <v>41706.97827</v>
      </c>
    </row>
    <row r="67" spans="1:17">
      <c r="A67" s="54" t="s">
        <v>55</v>
      </c>
      <c r="B67" s="53" t="s">
        <v>37</v>
      </c>
      <c r="C67" s="55">
        <v>56725.614289999998</v>
      </c>
      <c r="D67" s="54">
        <v>2.9999999999999997E-4</v>
      </c>
      <c r="E67">
        <f t="shared" si="5"/>
        <v>11890.539253507543</v>
      </c>
      <c r="F67">
        <f t="shared" si="6"/>
        <v>11890.5</v>
      </c>
      <c r="G67">
        <f t="shared" si="7"/>
        <v>1.0678849997930229E-2</v>
      </c>
      <c r="K67">
        <f t="shared" si="10"/>
        <v>1.0678849997930229E-2</v>
      </c>
      <c r="O67">
        <f t="shared" ca="1" si="9"/>
        <v>1.3810616156817189E-2</v>
      </c>
      <c r="Q67" s="2">
        <f t="shared" si="8"/>
        <v>41707.114289999998</v>
      </c>
    </row>
    <row r="68" spans="1:17">
      <c r="A68" s="56" t="s">
        <v>177</v>
      </c>
      <c r="B68" s="57" t="s">
        <v>36</v>
      </c>
      <c r="C68" s="58">
        <v>57122.406929999997</v>
      </c>
      <c r="D68" s="58">
        <v>2.9999999999999997E-4</v>
      </c>
      <c r="E68">
        <f t="shared" si="5"/>
        <v>13349.076726448926</v>
      </c>
      <c r="F68">
        <f t="shared" si="6"/>
        <v>13349</v>
      </c>
      <c r="G68">
        <f t="shared" si="7"/>
        <v>2.0873299996310379E-2</v>
      </c>
      <c r="K68">
        <f t="shared" si="10"/>
        <v>2.0873299996310379E-2</v>
      </c>
      <c r="O68">
        <f t="shared" ca="1" si="9"/>
        <v>1.9883024553360752E-2</v>
      </c>
      <c r="Q68" s="2">
        <f t="shared" si="8"/>
        <v>42103.906929999997</v>
      </c>
    </row>
    <row r="69" spans="1:17">
      <c r="A69" s="56" t="s">
        <v>177</v>
      </c>
      <c r="B69" s="57" t="s">
        <v>37</v>
      </c>
      <c r="C69" s="58">
        <v>57122.541550000002</v>
      </c>
      <c r="D69" s="58">
        <v>4.0000000000000002E-4</v>
      </c>
      <c r="E69">
        <f t="shared" si="5"/>
        <v>13349.571565049295</v>
      </c>
      <c r="F69">
        <f t="shared" si="6"/>
        <v>13349.5</v>
      </c>
      <c r="G69">
        <f t="shared" si="7"/>
        <v>1.9469150000077207E-2</v>
      </c>
      <c r="K69">
        <f t="shared" si="10"/>
        <v>1.9469150000077207E-2</v>
      </c>
      <c r="O69">
        <f t="shared" ca="1" si="9"/>
        <v>1.9885106284041776E-2</v>
      </c>
      <c r="Q69" s="2">
        <f t="shared" si="8"/>
        <v>42104.041550000002</v>
      </c>
    </row>
    <row r="70" spans="1:17" ht="12.95" customHeight="1">
      <c r="A70" s="56" t="s">
        <v>177</v>
      </c>
      <c r="B70" s="57" t="s">
        <v>37</v>
      </c>
      <c r="C70" s="58">
        <v>57481.38235</v>
      </c>
      <c r="D70" s="58">
        <v>8.0000000000000004E-4</v>
      </c>
      <c r="E70">
        <f t="shared" si="5"/>
        <v>14668.604986688018</v>
      </c>
      <c r="F70">
        <f t="shared" si="6"/>
        <v>14668.5</v>
      </c>
      <c r="G70">
        <f t="shared" si="7"/>
        <v>2.8561449995322619E-2</v>
      </c>
      <c r="K70">
        <f t="shared" si="10"/>
        <v>2.8561449995322619E-2</v>
      </c>
      <c r="O70">
        <f t="shared" ca="1" si="9"/>
        <v>2.5376711820579975E-2</v>
      </c>
      <c r="Q70" s="2">
        <f t="shared" si="8"/>
        <v>42462.88235</v>
      </c>
    </row>
    <row r="71" spans="1:17" ht="12.95" customHeight="1">
      <c r="A71" s="56" t="s">
        <v>177</v>
      </c>
      <c r="B71" s="57" t="s">
        <v>36</v>
      </c>
      <c r="C71" s="58">
        <v>57481.513919999998</v>
      </c>
      <c r="D71" s="58">
        <v>5.9999999999999995E-4</v>
      </c>
      <c r="E71">
        <f t="shared" si="5"/>
        <v>14669.088614043887</v>
      </c>
      <c r="F71">
        <f t="shared" si="6"/>
        <v>14669</v>
      </c>
      <c r="G71">
        <f t="shared" si="7"/>
        <v>2.4107299992465414E-2</v>
      </c>
      <c r="K71">
        <f t="shared" si="10"/>
        <v>2.4107299992465414E-2</v>
      </c>
      <c r="O71">
        <f t="shared" ca="1" si="9"/>
        <v>2.5378793551260999E-2</v>
      </c>
      <c r="Q71" s="2">
        <f t="shared" si="8"/>
        <v>42463.013919999998</v>
      </c>
    </row>
    <row r="72" spans="1:17" ht="12.95" customHeight="1">
      <c r="A72" s="58" t="s">
        <v>0</v>
      </c>
      <c r="B72" s="63" t="s">
        <v>36</v>
      </c>
      <c r="C72" s="59">
        <v>57825.390200000002</v>
      </c>
      <c r="D72" s="59">
        <v>5.9999999999999995E-4</v>
      </c>
      <c r="E72">
        <f t="shared" si="5"/>
        <v>15933.11518579605</v>
      </c>
      <c r="F72">
        <f t="shared" si="6"/>
        <v>15933</v>
      </c>
      <c r="G72">
        <f t="shared" si="7"/>
        <v>3.1336100000771694E-2</v>
      </c>
      <c r="K72">
        <f t="shared" si="10"/>
        <v>3.1336100000771694E-2</v>
      </c>
      <c r="O72">
        <f t="shared" ca="1" si="9"/>
        <v>3.0641408712886689E-2</v>
      </c>
      <c r="Q72" s="2">
        <f t="shared" si="8"/>
        <v>42806.890200000002</v>
      </c>
    </row>
    <row r="73" spans="1:17" ht="12.95" customHeight="1">
      <c r="A73" s="58" t="s">
        <v>0</v>
      </c>
      <c r="B73" s="63" t="s">
        <v>36</v>
      </c>
      <c r="C73" s="59">
        <v>57825.5262</v>
      </c>
      <c r="D73" s="59">
        <v>1E-3</v>
      </c>
      <c r="E73">
        <f t="shared" si="5"/>
        <v>15933.615097025044</v>
      </c>
      <c r="F73">
        <f t="shared" si="6"/>
        <v>15933.5</v>
      </c>
      <c r="G73">
        <f t="shared" si="7"/>
        <v>3.1311949998780619E-2</v>
      </c>
      <c r="K73">
        <f t="shared" si="10"/>
        <v>3.1311949998780619E-2</v>
      </c>
      <c r="O73">
        <f t="shared" ca="1" si="9"/>
        <v>3.0643490443567706E-2</v>
      </c>
      <c r="Q73" s="2">
        <f t="shared" si="8"/>
        <v>42807.0262</v>
      </c>
    </row>
    <row r="74" spans="1:17" ht="12.95" customHeight="1">
      <c r="A74" s="58" t="s">
        <v>0</v>
      </c>
      <c r="B74" s="63" t="s">
        <v>36</v>
      </c>
      <c r="C74" s="59">
        <v>57825.661200000002</v>
      </c>
      <c r="D74" s="59">
        <v>1.6999999999999999E-3</v>
      </c>
      <c r="E74">
        <f t="shared" si="5"/>
        <v>15934.11133243619</v>
      </c>
      <c r="F74">
        <f t="shared" si="6"/>
        <v>15934</v>
      </c>
      <c r="G74">
        <f t="shared" si="7"/>
        <v>3.0287800000223797E-2</v>
      </c>
      <c r="K74">
        <f t="shared" si="10"/>
        <v>3.0287800000223797E-2</v>
      </c>
      <c r="O74">
        <f t="shared" ca="1" si="9"/>
        <v>3.0645572174248736E-2</v>
      </c>
      <c r="Q74" s="2">
        <f t="shared" si="8"/>
        <v>42807.161200000002</v>
      </c>
    </row>
    <row r="75" spans="1:17" ht="12.95" customHeight="1">
      <c r="A75" s="60" t="s">
        <v>178</v>
      </c>
      <c r="B75" s="61" t="s">
        <v>37</v>
      </c>
      <c r="C75" s="62">
        <v>57841.573660000227</v>
      </c>
      <c r="D75" s="62">
        <v>4.0000000000000002E-4</v>
      </c>
      <c r="E75">
        <f t="shared" si="5"/>
        <v>15992.602637106078</v>
      </c>
      <c r="F75">
        <f t="shared" si="6"/>
        <v>15992.5</v>
      </c>
      <c r="G75">
        <f t="shared" si="7"/>
        <v>2.7922250228584744E-2</v>
      </c>
      <c r="K75">
        <f t="shared" si="10"/>
        <v>2.7922250228584744E-2</v>
      </c>
      <c r="O75">
        <f t="shared" ca="1" si="9"/>
        <v>3.0889134663928397E-2</v>
      </c>
      <c r="Q75" s="2">
        <f t="shared" si="8"/>
        <v>42823.073660000227</v>
      </c>
    </row>
    <row r="76" spans="1:17" ht="12.95" customHeight="1">
      <c r="A76" s="64" t="s">
        <v>179</v>
      </c>
      <c r="B76" s="65" t="s">
        <v>36</v>
      </c>
      <c r="C76" s="66">
        <v>58226.397499999999</v>
      </c>
      <c r="D76" s="66">
        <v>5.0000000000000001E-4</v>
      </c>
      <c r="E76">
        <f t="shared" si="5"/>
        <v>17407.144981240453</v>
      </c>
      <c r="F76">
        <f t="shared" si="6"/>
        <v>17407</v>
      </c>
      <c r="G76">
        <f t="shared" si="7"/>
        <v>3.9441900000383612E-2</v>
      </c>
      <c r="K76">
        <f t="shared" si="10"/>
        <v>3.9441900000383612E-2</v>
      </c>
      <c r="O76">
        <f t="shared" ca="1" si="9"/>
        <v>3.677835076054195E-2</v>
      </c>
      <c r="Q76" s="2">
        <f t="shared" si="8"/>
        <v>43207.897499999999</v>
      </c>
    </row>
    <row r="77" spans="1:17" ht="12.95" customHeight="1">
      <c r="B77" s="3"/>
      <c r="C77" s="8"/>
      <c r="D77" s="8"/>
    </row>
    <row r="78" spans="1:17" ht="12.95" customHeight="1">
      <c r="B78" s="3"/>
      <c r="C78" s="8"/>
      <c r="D78" s="8"/>
    </row>
    <row r="79" spans="1:17">
      <c r="B79" s="3"/>
      <c r="C79" s="8"/>
      <c r="D79" s="8"/>
    </row>
    <row r="80" spans="1:17">
      <c r="B80" s="3"/>
      <c r="C80" s="8"/>
      <c r="D80" s="8"/>
    </row>
    <row r="81" spans="2:4">
      <c r="B81" s="3"/>
      <c r="C81" s="8"/>
      <c r="D81" s="8"/>
    </row>
    <row r="82" spans="2:4">
      <c r="B82" s="3"/>
      <c r="C82" s="8"/>
      <c r="D82" s="8"/>
    </row>
    <row r="83" spans="2:4">
      <c r="B83" s="3"/>
      <c r="C83" s="8"/>
      <c r="D83" s="8"/>
    </row>
    <row r="84" spans="2:4">
      <c r="B84" s="3"/>
      <c r="C84" s="8"/>
      <c r="D84" s="8"/>
    </row>
    <row r="85" spans="2:4">
      <c r="B85" s="3"/>
      <c r="C85" s="8"/>
      <c r="D85" s="8"/>
    </row>
    <row r="86" spans="2:4">
      <c r="B86" s="3"/>
      <c r="C86" s="8"/>
      <c r="D86" s="8"/>
    </row>
    <row r="87" spans="2:4">
      <c r="B87" s="3"/>
      <c r="C87" s="8"/>
      <c r="D87" s="8"/>
    </row>
    <row r="88" spans="2:4">
      <c r="B88" s="3"/>
      <c r="C88" s="8"/>
      <c r="D88" s="8"/>
    </row>
    <row r="89" spans="2:4">
      <c r="B89" s="3"/>
      <c r="C89" s="8"/>
      <c r="D89" s="8"/>
    </row>
    <row r="90" spans="2:4">
      <c r="B90" s="3"/>
      <c r="C90" s="8"/>
      <c r="D90" s="8"/>
    </row>
    <row r="91" spans="2:4">
      <c r="B91" s="3"/>
      <c r="C91" s="8"/>
      <c r="D91" s="8"/>
    </row>
    <row r="92" spans="2:4">
      <c r="B92" s="3"/>
      <c r="C92" s="8"/>
      <c r="D92" s="8"/>
    </row>
    <row r="93" spans="2:4">
      <c r="B93" s="3"/>
      <c r="C93" s="8"/>
      <c r="D93" s="8"/>
    </row>
    <row r="94" spans="2:4">
      <c r="B94" s="3"/>
      <c r="C94" s="8"/>
      <c r="D94" s="8"/>
    </row>
    <row r="95" spans="2:4">
      <c r="B95" s="3"/>
      <c r="C95" s="8"/>
      <c r="D95" s="8"/>
    </row>
    <row r="96" spans="2:4">
      <c r="B96" s="3"/>
      <c r="C96" s="8"/>
      <c r="D96" s="8"/>
    </row>
    <row r="97" spans="2:4">
      <c r="B97" s="3"/>
      <c r="C97" s="8"/>
      <c r="D97" s="8"/>
    </row>
    <row r="98" spans="2:4">
      <c r="B98" s="3"/>
      <c r="C98" s="8"/>
      <c r="D98" s="8"/>
    </row>
    <row r="99" spans="2:4">
      <c r="B99" s="3"/>
      <c r="C99" s="8"/>
      <c r="D99" s="8"/>
    </row>
    <row r="100" spans="2:4">
      <c r="B100" s="3"/>
      <c r="C100" s="8"/>
      <c r="D100" s="8"/>
    </row>
    <row r="101" spans="2:4">
      <c r="B101" s="3"/>
      <c r="C101" s="8"/>
      <c r="D101" s="8"/>
    </row>
    <row r="102" spans="2:4">
      <c r="B102" s="3"/>
      <c r="C102" s="8"/>
      <c r="D102" s="8"/>
    </row>
    <row r="103" spans="2:4">
      <c r="B103" s="3"/>
      <c r="C103" s="8"/>
      <c r="D103" s="8"/>
    </row>
    <row r="104" spans="2:4">
      <c r="B104" s="3"/>
      <c r="C104" s="8"/>
      <c r="D104" s="8"/>
    </row>
    <row r="105" spans="2:4">
      <c r="B105" s="3"/>
      <c r="C105" s="8"/>
      <c r="D105" s="8"/>
    </row>
    <row r="106" spans="2:4">
      <c r="B106" s="3"/>
      <c r="C106" s="8"/>
      <c r="D106" s="8"/>
    </row>
    <row r="107" spans="2:4">
      <c r="C107" s="8"/>
      <c r="D107" s="8"/>
    </row>
    <row r="108" spans="2:4">
      <c r="C108" s="8"/>
      <c r="D108" s="8"/>
    </row>
    <row r="109" spans="2:4">
      <c r="C109" s="8"/>
      <c r="D109" s="8"/>
    </row>
    <row r="110" spans="2:4">
      <c r="C110" s="8"/>
      <c r="D110" s="8"/>
    </row>
    <row r="111" spans="2:4">
      <c r="C111" s="8"/>
      <c r="D111" s="8"/>
    </row>
    <row r="112" spans="2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74:D74" name="Range1"/>
  </protectedRanges>
  <sortState xmlns:xlrd2="http://schemas.microsoft.com/office/spreadsheetml/2017/richdata2" ref="A21:R78">
    <sortCondition ref="C21:C78"/>
  </sortState>
  <phoneticPr fontId="7" type="noConversion"/>
  <hyperlinks>
    <hyperlink ref="H1212" r:id="rId1" display="http://vsolj.cetus-net.org/bulletin.html" xr:uid="{00000000-0004-0000-0000-000000000000}"/>
    <hyperlink ref="H64792" r:id="rId2" display="http://vsolj.cetus-net.org/bulletin.html" xr:uid="{00000000-0004-0000-0000-000001000000}"/>
    <hyperlink ref="H64785" r:id="rId3" display="https://www.aavso.org/ejaavso" xr:uid="{00000000-0004-0000-0000-000002000000}"/>
    <hyperlink ref="AP936" r:id="rId4" display="http://cdsbib.u-strasbg.fr/cgi-bin/cdsbib?1990RMxAA..21..381G" xr:uid="{00000000-0004-0000-0000-000003000000}"/>
    <hyperlink ref="AP940" r:id="rId5" display="http://cdsbib.u-strasbg.fr/cgi-bin/cdsbib?1990RMxAA..21..381G" xr:uid="{00000000-0004-0000-0000-000004000000}"/>
    <hyperlink ref="AP939" r:id="rId6" display="http://cdsbib.u-strasbg.fr/cgi-bin/cdsbib?1990RMxAA..21..381G" xr:uid="{00000000-0004-0000-0000-000005000000}"/>
    <hyperlink ref="AP920" r:id="rId7" display="http://cdsbib.u-strasbg.fr/cgi-bin/cdsbib?1990RMxAA..21..381G" xr:uid="{00000000-0004-0000-0000-000006000000}"/>
    <hyperlink ref="I64792" r:id="rId8" display="http://vsolj.cetus-net.org/bulletin.html" xr:uid="{00000000-0004-0000-0000-000007000000}"/>
    <hyperlink ref="AQ1076" r:id="rId9" display="http://cdsbib.u-strasbg.fr/cgi-bin/cdsbib?1990RMxAA..21..381G" xr:uid="{00000000-0004-0000-0000-000008000000}"/>
    <hyperlink ref="AQ55842" r:id="rId10" display="http://cdsbib.u-strasbg.fr/cgi-bin/cdsbib?1990RMxAA..21..381G" xr:uid="{00000000-0004-0000-0000-000009000000}"/>
    <hyperlink ref="AQ1077" r:id="rId11" display="http://cdsbib.u-strasbg.fr/cgi-bin/cdsbib?1990RMxAA..21..381G" xr:uid="{00000000-0004-0000-0000-00000A000000}"/>
    <hyperlink ref="H64789" r:id="rId12" display="https://www.aavso.org/ejaavso" xr:uid="{00000000-0004-0000-0000-00000B000000}"/>
    <hyperlink ref="H1962" r:id="rId13" display="http://vsolj.cetus-net.org/bulletin.html" xr:uid="{00000000-0004-0000-0000-00000C000000}"/>
    <hyperlink ref="AP3206" r:id="rId14" display="http://cdsbib.u-strasbg.fr/cgi-bin/cdsbib?1990RMxAA..21..381G" xr:uid="{00000000-0004-0000-0000-00000D000000}"/>
    <hyperlink ref="AP3209" r:id="rId15" display="http://cdsbib.u-strasbg.fr/cgi-bin/cdsbib?1990RMxAA..21..381G" xr:uid="{00000000-0004-0000-0000-00000E000000}"/>
    <hyperlink ref="AP3207" r:id="rId16" display="http://cdsbib.u-strasbg.fr/cgi-bin/cdsbib?1990RMxAA..21..381G" xr:uid="{00000000-0004-0000-0000-00000F000000}"/>
    <hyperlink ref="AP3191" r:id="rId17" display="http://cdsbib.u-strasbg.fr/cgi-bin/cdsbib?1990RMxAA..21..381G" xr:uid="{00000000-0004-0000-0000-000010000000}"/>
    <hyperlink ref="I1962" r:id="rId18" display="http://vsolj.cetus-net.org/bulletin.html" xr:uid="{00000000-0004-0000-0000-000011000000}"/>
    <hyperlink ref="AQ3420" r:id="rId19" display="http://cdsbib.u-strasbg.fr/cgi-bin/cdsbib?1990RMxAA..21..381G" xr:uid="{00000000-0004-0000-0000-000012000000}"/>
    <hyperlink ref="AQ121" r:id="rId20" display="http://cdsbib.u-strasbg.fr/cgi-bin/cdsbib?1990RMxAA..21..381G" xr:uid="{00000000-0004-0000-0000-000013000000}"/>
    <hyperlink ref="AQ342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workbookViewId="0">
      <selection activeCell="A33" sqref="A33:D35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6" t="s">
        <v>56</v>
      </c>
      <c r="I1" s="37" t="s">
        <v>57</v>
      </c>
      <c r="J1" s="38" t="s">
        <v>58</v>
      </c>
    </row>
    <row r="2" spans="1:16">
      <c r="I2" s="39" t="s">
        <v>59</v>
      </c>
      <c r="J2" s="40" t="s">
        <v>60</v>
      </c>
    </row>
    <row r="3" spans="1:16">
      <c r="A3" s="41" t="s">
        <v>61</v>
      </c>
      <c r="I3" s="39" t="s">
        <v>62</v>
      </c>
      <c r="J3" s="40" t="s">
        <v>63</v>
      </c>
    </row>
    <row r="4" spans="1:16">
      <c r="I4" s="39" t="s">
        <v>64</v>
      </c>
      <c r="J4" s="40" t="s">
        <v>63</v>
      </c>
    </row>
    <row r="5" spans="1:16" ht="13.5" thickBot="1">
      <c r="I5" s="42" t="s">
        <v>65</v>
      </c>
      <c r="J5" s="43" t="s">
        <v>66</v>
      </c>
    </row>
    <row r="10" spans="1:16" ht="13.5" thickBot="1"/>
    <row r="11" spans="1:16" ht="12.75" customHeight="1" thickBot="1">
      <c r="A11" s="8" t="str">
        <f t="shared" ref="A11:A35" si="0">P11</f>
        <v>IBVS 5781 </v>
      </c>
      <c r="B11" s="3" t="str">
        <f t="shared" ref="B11:B35" si="1">IF(H11=INT(H11),"I","II")</f>
        <v>II</v>
      </c>
      <c r="C11" s="8">
        <f t="shared" ref="C11:C35" si="2">1*G11</f>
        <v>54172.433499999999</v>
      </c>
      <c r="D11" s="10" t="str">
        <f t="shared" ref="D11:D35" si="3">VLOOKUP(F11,I$1:J$5,2,FALSE)</f>
        <v>vis</v>
      </c>
      <c r="E11" s="44">
        <f>VLOOKUP(C11,Active!C$21:E$973,3,FALSE)</f>
        <v>2505.5117050905942</v>
      </c>
      <c r="F11" s="3" t="s">
        <v>65</v>
      </c>
      <c r="G11" s="10" t="str">
        <f t="shared" ref="G11:G35" si="4">MID(I11,3,LEN(I11)-3)</f>
        <v>54172.4335</v>
      </c>
      <c r="H11" s="8">
        <f t="shared" ref="H11:H35" si="5">1*K11</f>
        <v>2505.5</v>
      </c>
      <c r="I11" s="45" t="s">
        <v>67</v>
      </c>
      <c r="J11" s="46" t="s">
        <v>68</v>
      </c>
      <c r="K11" s="45">
        <v>2505.5</v>
      </c>
      <c r="L11" s="45" t="s">
        <v>69</v>
      </c>
      <c r="M11" s="46" t="s">
        <v>70</v>
      </c>
      <c r="N11" s="46" t="s">
        <v>57</v>
      </c>
      <c r="O11" s="47" t="s">
        <v>71</v>
      </c>
      <c r="P11" s="48" t="s">
        <v>72</v>
      </c>
    </row>
    <row r="12" spans="1:16" ht="12.75" customHeight="1" thickBot="1">
      <c r="A12" s="8" t="str">
        <f t="shared" si="0"/>
        <v>BAVM 209 </v>
      </c>
      <c r="B12" s="3" t="str">
        <f t="shared" si="1"/>
        <v>I</v>
      </c>
      <c r="C12" s="8">
        <f t="shared" si="2"/>
        <v>54505.554400000001</v>
      </c>
      <c r="D12" s="10" t="str">
        <f t="shared" si="3"/>
        <v>vis</v>
      </c>
      <c r="E12" s="44">
        <f>VLOOKUP(C12,Active!C$21:E$973,3,FALSE)</f>
        <v>3730.0034589446036</v>
      </c>
      <c r="F12" s="3" t="s">
        <v>65</v>
      </c>
      <c r="G12" s="10" t="str">
        <f t="shared" si="4"/>
        <v>54505.5544</v>
      </c>
      <c r="H12" s="8">
        <f t="shared" si="5"/>
        <v>3730</v>
      </c>
      <c r="I12" s="45" t="s">
        <v>73</v>
      </c>
      <c r="J12" s="46" t="s">
        <v>74</v>
      </c>
      <c r="K12" s="45">
        <v>3730</v>
      </c>
      <c r="L12" s="45" t="s">
        <v>75</v>
      </c>
      <c r="M12" s="46" t="s">
        <v>70</v>
      </c>
      <c r="N12" s="46" t="s">
        <v>76</v>
      </c>
      <c r="O12" s="47" t="s">
        <v>77</v>
      </c>
      <c r="P12" s="48" t="s">
        <v>78</v>
      </c>
    </row>
    <row r="13" spans="1:16" ht="12.75" customHeight="1" thickBot="1">
      <c r="A13" s="8" t="str">
        <f t="shared" si="0"/>
        <v>IBVS 5875 </v>
      </c>
      <c r="B13" s="3" t="str">
        <f t="shared" si="1"/>
        <v>II</v>
      </c>
      <c r="C13" s="8">
        <f t="shared" si="2"/>
        <v>54553.842799999999</v>
      </c>
      <c r="D13" s="10" t="str">
        <f t="shared" si="3"/>
        <v>vis</v>
      </c>
      <c r="E13" s="44">
        <f>VLOOKUP(C13,Active!C$21:E$973,3,FALSE)</f>
        <v>3907.5028221091507</v>
      </c>
      <c r="F13" s="3" t="s">
        <v>65</v>
      </c>
      <c r="G13" s="10" t="str">
        <f t="shared" si="4"/>
        <v>54553.8428</v>
      </c>
      <c r="H13" s="8">
        <f t="shared" si="5"/>
        <v>3907.5</v>
      </c>
      <c r="I13" s="45" t="s">
        <v>79</v>
      </c>
      <c r="J13" s="46" t="s">
        <v>80</v>
      </c>
      <c r="K13" s="45" t="s">
        <v>81</v>
      </c>
      <c r="L13" s="45" t="s">
        <v>82</v>
      </c>
      <c r="M13" s="46" t="s">
        <v>70</v>
      </c>
      <c r="N13" s="46" t="s">
        <v>57</v>
      </c>
      <c r="O13" s="47" t="s">
        <v>83</v>
      </c>
      <c r="P13" s="48" t="s">
        <v>84</v>
      </c>
    </row>
    <row r="14" spans="1:16" ht="12.75" customHeight="1" thickBot="1">
      <c r="A14" s="8" t="str">
        <f t="shared" si="0"/>
        <v>IBVS 5894 </v>
      </c>
      <c r="B14" s="3" t="str">
        <f t="shared" si="1"/>
        <v>I</v>
      </c>
      <c r="C14" s="8">
        <f t="shared" si="2"/>
        <v>54891.862800000003</v>
      </c>
      <c r="D14" s="10" t="str">
        <f t="shared" si="3"/>
        <v>vis</v>
      </c>
      <c r="E14" s="44">
        <f>VLOOKUP(C14,Active!C$21:E$973,3,FALSE)</f>
        <v>5150.0027752424876</v>
      </c>
      <c r="F14" s="3" t="s">
        <v>65</v>
      </c>
      <c r="G14" s="10" t="str">
        <f t="shared" si="4"/>
        <v>54891.8628</v>
      </c>
      <c r="H14" s="8">
        <f t="shared" si="5"/>
        <v>5150</v>
      </c>
      <c r="I14" s="45" t="s">
        <v>85</v>
      </c>
      <c r="J14" s="46" t="s">
        <v>86</v>
      </c>
      <c r="K14" s="45" t="s">
        <v>87</v>
      </c>
      <c r="L14" s="45" t="s">
        <v>82</v>
      </c>
      <c r="M14" s="46" t="s">
        <v>70</v>
      </c>
      <c r="N14" s="46" t="s">
        <v>65</v>
      </c>
      <c r="O14" s="47" t="s">
        <v>88</v>
      </c>
      <c r="P14" s="48" t="s">
        <v>89</v>
      </c>
    </row>
    <row r="15" spans="1:16" ht="12.75" customHeight="1" thickBot="1">
      <c r="A15" s="8" t="str">
        <f t="shared" si="0"/>
        <v>BAVM 209 </v>
      </c>
      <c r="B15" s="3" t="str">
        <f t="shared" si="1"/>
        <v>II</v>
      </c>
      <c r="C15" s="8">
        <f t="shared" si="2"/>
        <v>54924.3727</v>
      </c>
      <c r="D15" s="10" t="str">
        <f t="shared" si="3"/>
        <v>vis</v>
      </c>
      <c r="E15" s="44">
        <f>VLOOKUP(C15,Active!C$21:E$973,3,FALSE)</f>
        <v>5269.5032462985364</v>
      </c>
      <c r="F15" s="3" t="s">
        <v>65</v>
      </c>
      <c r="G15" s="10" t="str">
        <f t="shared" si="4"/>
        <v>54924.3727</v>
      </c>
      <c r="H15" s="8">
        <f t="shared" si="5"/>
        <v>5269.5</v>
      </c>
      <c r="I15" s="45" t="s">
        <v>90</v>
      </c>
      <c r="J15" s="46" t="s">
        <v>91</v>
      </c>
      <c r="K15" s="45" t="s">
        <v>92</v>
      </c>
      <c r="L15" s="45" t="s">
        <v>75</v>
      </c>
      <c r="M15" s="46" t="s">
        <v>70</v>
      </c>
      <c r="N15" s="46" t="s">
        <v>76</v>
      </c>
      <c r="O15" s="47" t="s">
        <v>93</v>
      </c>
      <c r="P15" s="48" t="s">
        <v>78</v>
      </c>
    </row>
    <row r="16" spans="1:16" ht="12.75" customHeight="1" thickBot="1">
      <c r="A16" s="8" t="str">
        <f t="shared" si="0"/>
        <v>BAVM 209 </v>
      </c>
      <c r="B16" s="3" t="str">
        <f t="shared" si="1"/>
        <v>I</v>
      </c>
      <c r="C16" s="8">
        <f t="shared" si="2"/>
        <v>54924.508500000004</v>
      </c>
      <c r="D16" s="10" t="str">
        <f t="shared" si="3"/>
        <v>vis</v>
      </c>
      <c r="E16" s="44">
        <f>VLOOKUP(C16,Active!C$21:E$973,3,FALSE)</f>
        <v>5270.0024223639766</v>
      </c>
      <c r="F16" s="3" t="s">
        <v>65</v>
      </c>
      <c r="G16" s="10" t="str">
        <f t="shared" si="4"/>
        <v>54924.5085</v>
      </c>
      <c r="H16" s="8">
        <f t="shared" si="5"/>
        <v>5270</v>
      </c>
      <c r="I16" s="45" t="s">
        <v>97</v>
      </c>
      <c r="J16" s="46" t="s">
        <v>98</v>
      </c>
      <c r="K16" s="45" t="s">
        <v>99</v>
      </c>
      <c r="L16" s="45" t="s">
        <v>100</v>
      </c>
      <c r="M16" s="46" t="s">
        <v>70</v>
      </c>
      <c r="N16" s="46" t="s">
        <v>76</v>
      </c>
      <c r="O16" s="47" t="s">
        <v>93</v>
      </c>
      <c r="P16" s="48" t="s">
        <v>78</v>
      </c>
    </row>
    <row r="17" spans="1:16" ht="12.75" customHeight="1" thickBot="1">
      <c r="A17" s="8" t="str">
        <f t="shared" si="0"/>
        <v>BAVM 209 </v>
      </c>
      <c r="B17" s="3" t="str">
        <f t="shared" si="1"/>
        <v>I</v>
      </c>
      <c r="C17" s="8">
        <f t="shared" si="2"/>
        <v>54941.374600000003</v>
      </c>
      <c r="D17" s="10" t="str">
        <f t="shared" si="3"/>
        <v>vis</v>
      </c>
      <c r="E17" s="44">
        <f>VLOOKUP(C17,Active!C$21:E$973,3,FALSE)</f>
        <v>5331.999133977316</v>
      </c>
      <c r="F17" s="3" t="s">
        <v>65</v>
      </c>
      <c r="G17" s="10" t="str">
        <f t="shared" si="4"/>
        <v>54941.3746</v>
      </c>
      <c r="H17" s="8">
        <f t="shared" si="5"/>
        <v>5332</v>
      </c>
      <c r="I17" s="45" t="s">
        <v>101</v>
      </c>
      <c r="J17" s="46" t="s">
        <v>102</v>
      </c>
      <c r="K17" s="45" t="s">
        <v>103</v>
      </c>
      <c r="L17" s="45" t="s">
        <v>104</v>
      </c>
      <c r="M17" s="46" t="s">
        <v>70</v>
      </c>
      <c r="N17" s="46" t="s">
        <v>76</v>
      </c>
      <c r="O17" s="47" t="s">
        <v>93</v>
      </c>
      <c r="P17" s="48" t="s">
        <v>78</v>
      </c>
    </row>
    <row r="18" spans="1:16" ht="12.75" customHeight="1" thickBot="1">
      <c r="A18" s="8" t="str">
        <f t="shared" si="0"/>
        <v>BAVM 209 </v>
      </c>
      <c r="B18" s="3" t="str">
        <f t="shared" si="1"/>
        <v>II</v>
      </c>
      <c r="C18" s="8">
        <f t="shared" si="2"/>
        <v>54941.5118</v>
      </c>
      <c r="D18" s="10" t="str">
        <f t="shared" si="3"/>
        <v>vis</v>
      </c>
      <c r="E18" s="44">
        <f>VLOOKUP(C18,Active!C$21:E$973,3,FALSE)</f>
        <v>5332.5034561877374</v>
      </c>
      <c r="F18" s="3" t="s">
        <v>65</v>
      </c>
      <c r="G18" s="10" t="str">
        <f t="shared" si="4"/>
        <v>54941.5118</v>
      </c>
      <c r="H18" s="8">
        <f t="shared" si="5"/>
        <v>5332.5</v>
      </c>
      <c r="I18" s="45" t="s">
        <v>105</v>
      </c>
      <c r="J18" s="46" t="s">
        <v>106</v>
      </c>
      <c r="K18" s="45" t="s">
        <v>107</v>
      </c>
      <c r="L18" s="45" t="s">
        <v>75</v>
      </c>
      <c r="M18" s="46" t="s">
        <v>70</v>
      </c>
      <c r="N18" s="46" t="s">
        <v>76</v>
      </c>
      <c r="O18" s="47" t="s">
        <v>93</v>
      </c>
      <c r="P18" s="48" t="s">
        <v>78</v>
      </c>
    </row>
    <row r="19" spans="1:16" ht="12.75" customHeight="1" thickBot="1">
      <c r="A19" s="8" t="str">
        <f t="shared" si="0"/>
        <v>IBVS 5894 </v>
      </c>
      <c r="B19" s="3" t="str">
        <f t="shared" si="1"/>
        <v>I</v>
      </c>
      <c r="C19" s="8">
        <f t="shared" si="2"/>
        <v>54957.697500000002</v>
      </c>
      <c r="D19" s="10" t="str">
        <f t="shared" si="3"/>
        <v>vis</v>
      </c>
      <c r="E19" s="44">
        <f>VLOOKUP(C19,Active!C$21:E$973,3,FALSE)</f>
        <v>5391.999141328949</v>
      </c>
      <c r="F19" s="3" t="s">
        <v>65</v>
      </c>
      <c r="G19" s="10" t="str">
        <f t="shared" si="4"/>
        <v>54957.6975</v>
      </c>
      <c r="H19" s="8">
        <f t="shared" si="5"/>
        <v>5392</v>
      </c>
      <c r="I19" s="45" t="s">
        <v>108</v>
      </c>
      <c r="J19" s="46" t="s">
        <v>109</v>
      </c>
      <c r="K19" s="45" t="s">
        <v>110</v>
      </c>
      <c r="L19" s="45" t="s">
        <v>104</v>
      </c>
      <c r="M19" s="46" t="s">
        <v>70</v>
      </c>
      <c r="N19" s="46" t="s">
        <v>65</v>
      </c>
      <c r="O19" s="47" t="s">
        <v>88</v>
      </c>
      <c r="P19" s="48" t="s">
        <v>89</v>
      </c>
    </row>
    <row r="20" spans="1:16" ht="12.75" customHeight="1" thickBot="1">
      <c r="A20" s="8" t="str">
        <f t="shared" si="0"/>
        <v>IBVS 5894 </v>
      </c>
      <c r="B20" s="3" t="str">
        <f t="shared" si="1"/>
        <v>I</v>
      </c>
      <c r="C20" s="8">
        <f t="shared" si="2"/>
        <v>55000.411</v>
      </c>
      <c r="D20" s="10" t="str">
        <f t="shared" si="3"/>
        <v>vis</v>
      </c>
      <c r="E20" s="44">
        <f>VLOOKUP(C20,Active!C$21:E$973,3,FALSE)</f>
        <v>5549.0061875041984</v>
      </c>
      <c r="F20" s="3" t="s">
        <v>65</v>
      </c>
      <c r="G20" s="10" t="str">
        <f t="shared" si="4"/>
        <v>55000.4110</v>
      </c>
      <c r="H20" s="8">
        <f t="shared" si="5"/>
        <v>5549</v>
      </c>
      <c r="I20" s="45" t="s">
        <v>119</v>
      </c>
      <c r="J20" s="46" t="s">
        <v>120</v>
      </c>
      <c r="K20" s="45" t="s">
        <v>121</v>
      </c>
      <c r="L20" s="45" t="s">
        <v>122</v>
      </c>
      <c r="M20" s="46" t="s">
        <v>70</v>
      </c>
      <c r="N20" s="46" t="s">
        <v>57</v>
      </c>
      <c r="O20" s="47" t="s">
        <v>71</v>
      </c>
      <c r="P20" s="48" t="s">
        <v>89</v>
      </c>
    </row>
    <row r="21" spans="1:16" ht="12.75" customHeight="1" thickBot="1">
      <c r="A21" s="8" t="str">
        <f t="shared" si="0"/>
        <v>IBVS 5960 </v>
      </c>
      <c r="B21" s="3" t="str">
        <f t="shared" si="1"/>
        <v>I</v>
      </c>
      <c r="C21" s="8">
        <f t="shared" si="2"/>
        <v>55398.416799999999</v>
      </c>
      <c r="D21" s="10" t="str">
        <f t="shared" si="3"/>
        <v>vis</v>
      </c>
      <c r="E21" s="44">
        <f>VLOOKUP(C21,Active!C$21:E$973,3,FALSE)</f>
        <v>7012.003015640963</v>
      </c>
      <c r="F21" s="3" t="s">
        <v>65</v>
      </c>
      <c r="G21" s="10" t="str">
        <f t="shared" si="4"/>
        <v>55398.4168</v>
      </c>
      <c r="H21" s="8">
        <f t="shared" si="5"/>
        <v>7012</v>
      </c>
      <c r="I21" s="45" t="s">
        <v>123</v>
      </c>
      <c r="J21" s="46" t="s">
        <v>124</v>
      </c>
      <c r="K21" s="45" t="s">
        <v>125</v>
      </c>
      <c r="L21" s="45" t="s">
        <v>82</v>
      </c>
      <c r="M21" s="46" t="s">
        <v>70</v>
      </c>
      <c r="N21" s="46" t="s">
        <v>57</v>
      </c>
      <c r="O21" s="47" t="s">
        <v>71</v>
      </c>
      <c r="P21" s="48" t="s">
        <v>126</v>
      </c>
    </row>
    <row r="22" spans="1:16" ht="12.75" customHeight="1" thickBot="1">
      <c r="A22" s="8" t="str">
        <f t="shared" si="0"/>
        <v>BAVM 220 </v>
      </c>
      <c r="B22" s="3" t="str">
        <f t="shared" si="1"/>
        <v>I</v>
      </c>
      <c r="C22" s="8">
        <f t="shared" si="2"/>
        <v>55624.489099999999</v>
      </c>
      <c r="D22" s="10" t="str">
        <f t="shared" si="3"/>
        <v>vis</v>
      </c>
      <c r="E22" s="44">
        <f>VLOOKUP(C22,Active!C$21:E$973,3,FALSE)</f>
        <v>7843.0036136965282</v>
      </c>
      <c r="F22" s="3" t="s">
        <v>65</v>
      </c>
      <c r="G22" s="10" t="str">
        <f t="shared" si="4"/>
        <v>55624.4891</v>
      </c>
      <c r="H22" s="8">
        <f t="shared" si="5"/>
        <v>7843</v>
      </c>
      <c r="I22" s="45" t="s">
        <v>127</v>
      </c>
      <c r="J22" s="46" t="s">
        <v>128</v>
      </c>
      <c r="K22" s="45" t="s">
        <v>129</v>
      </c>
      <c r="L22" s="45" t="s">
        <v>130</v>
      </c>
      <c r="M22" s="46" t="s">
        <v>70</v>
      </c>
      <c r="N22" s="46" t="s">
        <v>76</v>
      </c>
      <c r="O22" s="47" t="s">
        <v>93</v>
      </c>
      <c r="P22" s="48" t="s">
        <v>131</v>
      </c>
    </row>
    <row r="23" spans="1:16" ht="12.75" customHeight="1" thickBot="1">
      <c r="A23" s="8" t="str">
        <f t="shared" si="0"/>
        <v>BAVM 220 </v>
      </c>
      <c r="B23" s="3" t="str">
        <f t="shared" si="1"/>
        <v>II</v>
      </c>
      <c r="C23" s="8">
        <f t="shared" si="2"/>
        <v>55624.626300000004</v>
      </c>
      <c r="D23" s="10" t="str">
        <f t="shared" si="3"/>
        <v>vis</v>
      </c>
      <c r="E23" s="44">
        <f>VLOOKUP(C23,Active!C$21:E$973,3,FALSE)</f>
        <v>7843.5079359069759</v>
      </c>
      <c r="F23" s="3" t="s">
        <v>65</v>
      </c>
      <c r="G23" s="10" t="str">
        <f t="shared" si="4"/>
        <v>55624.6263</v>
      </c>
      <c r="H23" s="8">
        <f t="shared" si="5"/>
        <v>7843.5</v>
      </c>
      <c r="I23" s="45" t="s">
        <v>132</v>
      </c>
      <c r="J23" s="46" t="s">
        <v>133</v>
      </c>
      <c r="K23" s="45" t="s">
        <v>134</v>
      </c>
      <c r="L23" s="45" t="s">
        <v>135</v>
      </c>
      <c r="M23" s="46" t="s">
        <v>70</v>
      </c>
      <c r="N23" s="46" t="s">
        <v>76</v>
      </c>
      <c r="O23" s="47" t="s">
        <v>93</v>
      </c>
      <c r="P23" s="48" t="s">
        <v>131</v>
      </c>
    </row>
    <row r="24" spans="1:16" ht="12.75" customHeight="1" thickBot="1">
      <c r="A24" s="8" t="str">
        <f t="shared" si="0"/>
        <v>IBVS 5992 </v>
      </c>
      <c r="B24" s="3" t="str">
        <f t="shared" si="1"/>
        <v>I</v>
      </c>
      <c r="C24" s="8">
        <f t="shared" si="2"/>
        <v>55629.929400000001</v>
      </c>
      <c r="D24" s="10" t="str">
        <f t="shared" si="3"/>
        <v>vis</v>
      </c>
      <c r="E24" s="44">
        <f>VLOOKUP(C24,Active!C$21:E$973,3,FALSE)</f>
        <v>7863.0011656018405</v>
      </c>
      <c r="F24" s="3" t="s">
        <v>65</v>
      </c>
      <c r="G24" s="10" t="str">
        <f t="shared" si="4"/>
        <v>55629.9294</v>
      </c>
      <c r="H24" s="8">
        <f t="shared" si="5"/>
        <v>7863</v>
      </c>
      <c r="I24" s="45" t="s">
        <v>136</v>
      </c>
      <c r="J24" s="46" t="s">
        <v>137</v>
      </c>
      <c r="K24" s="45" t="s">
        <v>138</v>
      </c>
      <c r="L24" s="45" t="s">
        <v>139</v>
      </c>
      <c r="M24" s="46" t="s">
        <v>70</v>
      </c>
      <c r="N24" s="46" t="s">
        <v>65</v>
      </c>
      <c r="O24" s="47" t="s">
        <v>88</v>
      </c>
      <c r="P24" s="48" t="s">
        <v>140</v>
      </c>
    </row>
    <row r="25" spans="1:16" ht="12.75" customHeight="1" thickBot="1">
      <c r="A25" s="8" t="str">
        <f t="shared" si="0"/>
        <v>BAVM 220 </v>
      </c>
      <c r="B25" s="3" t="str">
        <f t="shared" si="1"/>
        <v>I</v>
      </c>
      <c r="C25" s="8">
        <f t="shared" si="2"/>
        <v>55661.486799999999</v>
      </c>
      <c r="D25" s="10" t="str">
        <f t="shared" si="3"/>
        <v>vis</v>
      </c>
      <c r="E25" s="44">
        <f>VLOOKUP(C25,Active!C$21:E$973,3,FALSE)</f>
        <v>7979.0004201459706</v>
      </c>
      <c r="F25" s="3" t="s">
        <v>65</v>
      </c>
      <c r="G25" s="10" t="str">
        <f t="shared" si="4"/>
        <v>55661.4868</v>
      </c>
      <c r="H25" s="8">
        <f t="shared" si="5"/>
        <v>7979</v>
      </c>
      <c r="I25" s="45" t="s">
        <v>141</v>
      </c>
      <c r="J25" s="46" t="s">
        <v>142</v>
      </c>
      <c r="K25" s="45" t="s">
        <v>143</v>
      </c>
      <c r="L25" s="45" t="s">
        <v>144</v>
      </c>
      <c r="M25" s="46" t="s">
        <v>70</v>
      </c>
      <c r="N25" s="46" t="s">
        <v>76</v>
      </c>
      <c r="O25" s="47" t="s">
        <v>93</v>
      </c>
      <c r="P25" s="48" t="s">
        <v>131</v>
      </c>
    </row>
    <row r="26" spans="1:16" ht="12.75" customHeight="1" thickBot="1">
      <c r="A26" s="8" t="str">
        <f t="shared" si="0"/>
        <v>BAVM 220 </v>
      </c>
      <c r="B26" s="3" t="str">
        <f t="shared" si="1"/>
        <v>II</v>
      </c>
      <c r="C26" s="8">
        <f t="shared" si="2"/>
        <v>55661.625099999997</v>
      </c>
      <c r="D26" s="10" t="str">
        <f t="shared" si="3"/>
        <v>vis</v>
      </c>
      <c r="E26" s="44">
        <f>VLOOKUP(C26,Active!C$21:E$973,3,FALSE)</f>
        <v>7979.5087857560429</v>
      </c>
      <c r="F26" s="3" t="s">
        <v>65</v>
      </c>
      <c r="G26" s="10" t="str">
        <f t="shared" si="4"/>
        <v>55661.6251</v>
      </c>
      <c r="H26" s="8">
        <f t="shared" si="5"/>
        <v>7979.5</v>
      </c>
      <c r="I26" s="45" t="s">
        <v>145</v>
      </c>
      <c r="J26" s="46" t="s">
        <v>146</v>
      </c>
      <c r="K26" s="45" t="s">
        <v>147</v>
      </c>
      <c r="L26" s="45" t="s">
        <v>148</v>
      </c>
      <c r="M26" s="46" t="s">
        <v>70</v>
      </c>
      <c r="N26" s="46" t="s">
        <v>76</v>
      </c>
      <c r="O26" s="47" t="s">
        <v>93</v>
      </c>
      <c r="P26" s="48" t="s">
        <v>131</v>
      </c>
    </row>
    <row r="27" spans="1:16" ht="12.75" customHeight="1" thickBot="1">
      <c r="A27" s="8" t="str">
        <f t="shared" si="0"/>
        <v>OEJV 0160 </v>
      </c>
      <c r="B27" s="3" t="str">
        <f t="shared" si="1"/>
        <v>II</v>
      </c>
      <c r="C27" s="8">
        <f t="shared" si="2"/>
        <v>55692.365749999997</v>
      </c>
      <c r="D27" s="10" t="str">
        <f t="shared" si="3"/>
        <v>vis</v>
      </c>
      <c r="E27" s="44">
        <f>VLOOKUP(C27,Active!C$21:E$973,3,FALSE)</f>
        <v>8092.5058160627923</v>
      </c>
      <c r="F27" s="3" t="s">
        <v>65</v>
      </c>
      <c r="G27" s="10" t="str">
        <f t="shared" si="4"/>
        <v>55692.36575</v>
      </c>
      <c r="H27" s="8">
        <f t="shared" si="5"/>
        <v>8092.5</v>
      </c>
      <c r="I27" s="45" t="s">
        <v>149</v>
      </c>
      <c r="J27" s="46" t="s">
        <v>150</v>
      </c>
      <c r="K27" s="45" t="s">
        <v>151</v>
      </c>
      <c r="L27" s="45" t="s">
        <v>152</v>
      </c>
      <c r="M27" s="46" t="s">
        <v>70</v>
      </c>
      <c r="N27" s="46" t="s">
        <v>153</v>
      </c>
      <c r="O27" s="47" t="s">
        <v>154</v>
      </c>
      <c r="P27" s="48" t="s">
        <v>155</v>
      </c>
    </row>
    <row r="28" spans="1:16" ht="12.75" customHeight="1" thickBot="1">
      <c r="A28" s="8" t="str">
        <f t="shared" si="0"/>
        <v>OEJV 0160 </v>
      </c>
      <c r="B28" s="3" t="str">
        <f t="shared" si="1"/>
        <v>I</v>
      </c>
      <c r="C28" s="8">
        <f t="shared" si="2"/>
        <v>55989.579109999999</v>
      </c>
      <c r="D28" s="10" t="str">
        <f t="shared" si="3"/>
        <v>vis</v>
      </c>
      <c r="E28" s="44">
        <f>VLOOKUP(C28,Active!C$21:E$973,3,FALSE)</f>
        <v>9185.0079930659267</v>
      </c>
      <c r="F28" s="3" t="s">
        <v>65</v>
      </c>
      <c r="G28" s="10" t="str">
        <f t="shared" si="4"/>
        <v>55989.57911</v>
      </c>
      <c r="H28" s="8">
        <f t="shared" si="5"/>
        <v>9185</v>
      </c>
      <c r="I28" s="45" t="s">
        <v>156</v>
      </c>
      <c r="J28" s="46" t="s">
        <v>157</v>
      </c>
      <c r="K28" s="45" t="s">
        <v>158</v>
      </c>
      <c r="L28" s="45" t="s">
        <v>159</v>
      </c>
      <c r="M28" s="46" t="s">
        <v>70</v>
      </c>
      <c r="N28" s="46" t="s">
        <v>153</v>
      </c>
      <c r="O28" s="47" t="s">
        <v>154</v>
      </c>
      <c r="P28" s="48" t="s">
        <v>155</v>
      </c>
    </row>
    <row r="29" spans="1:16" ht="12.75" customHeight="1" thickBot="1">
      <c r="A29" s="8" t="str">
        <f t="shared" si="0"/>
        <v>IBVS 6029 </v>
      </c>
      <c r="B29" s="3" t="str">
        <f t="shared" si="1"/>
        <v>II</v>
      </c>
      <c r="C29" s="8">
        <f t="shared" si="2"/>
        <v>55991.893600000003</v>
      </c>
      <c r="D29" s="10" t="str">
        <f t="shared" si="3"/>
        <v>vis</v>
      </c>
      <c r="E29" s="44">
        <f>VLOOKUP(C29,Active!C$21:E$973,3,FALSE)</f>
        <v>9193.515636745391</v>
      </c>
      <c r="F29" s="3" t="s">
        <v>65</v>
      </c>
      <c r="G29" s="10" t="str">
        <f t="shared" si="4"/>
        <v>55991.8936</v>
      </c>
      <c r="H29" s="8">
        <f t="shared" si="5"/>
        <v>9193.5</v>
      </c>
      <c r="I29" s="45" t="s">
        <v>160</v>
      </c>
      <c r="J29" s="46" t="s">
        <v>161</v>
      </c>
      <c r="K29" s="45" t="s">
        <v>162</v>
      </c>
      <c r="L29" s="45" t="s">
        <v>163</v>
      </c>
      <c r="M29" s="46" t="s">
        <v>70</v>
      </c>
      <c r="N29" s="46" t="s">
        <v>65</v>
      </c>
      <c r="O29" s="47" t="s">
        <v>88</v>
      </c>
      <c r="P29" s="48" t="s">
        <v>164</v>
      </c>
    </row>
    <row r="30" spans="1:16" ht="12.75" customHeight="1" thickBot="1">
      <c r="A30" s="8" t="str">
        <f t="shared" si="0"/>
        <v>OEJV 0160 </v>
      </c>
      <c r="B30" s="3" t="str">
        <f t="shared" si="1"/>
        <v>II</v>
      </c>
      <c r="C30" s="8">
        <f t="shared" si="2"/>
        <v>56014.474719999998</v>
      </c>
      <c r="D30" s="10" t="str">
        <f t="shared" si="3"/>
        <v>vis</v>
      </c>
      <c r="E30" s="44">
        <f>VLOOKUP(C30,Active!C$21:E$973,3,FALSE)</f>
        <v>9276.5197209465987</v>
      </c>
      <c r="F30" s="3" t="s">
        <v>65</v>
      </c>
      <c r="G30" s="10" t="str">
        <f t="shared" si="4"/>
        <v>56014.47472</v>
      </c>
      <c r="H30" s="8">
        <f t="shared" si="5"/>
        <v>9276.5</v>
      </c>
      <c r="I30" s="45" t="s">
        <v>165</v>
      </c>
      <c r="J30" s="46" t="s">
        <v>166</v>
      </c>
      <c r="K30" s="45" t="s">
        <v>167</v>
      </c>
      <c r="L30" s="45" t="s">
        <v>168</v>
      </c>
      <c r="M30" s="46" t="s">
        <v>70</v>
      </c>
      <c r="N30" s="46" t="s">
        <v>153</v>
      </c>
      <c r="O30" s="47" t="s">
        <v>154</v>
      </c>
      <c r="P30" s="48" t="s">
        <v>155</v>
      </c>
    </row>
    <row r="31" spans="1:16" ht="12.75" customHeight="1" thickBot="1">
      <c r="A31" s="8" t="str">
        <f t="shared" si="0"/>
        <v>OEJV 0160 </v>
      </c>
      <c r="B31" s="3" t="str">
        <f t="shared" si="1"/>
        <v>I</v>
      </c>
      <c r="C31" s="8">
        <f t="shared" si="2"/>
        <v>56014.606930000002</v>
      </c>
      <c r="D31" s="10" t="str">
        <f t="shared" si="3"/>
        <v>vis</v>
      </c>
      <c r="E31" s="44">
        <f>VLOOKUP(C31,Active!C$21:E$973,3,FALSE)</f>
        <v>9277.0057008259191</v>
      </c>
      <c r="F31" s="3" t="s">
        <v>65</v>
      </c>
      <c r="G31" s="10" t="str">
        <f t="shared" si="4"/>
        <v>56014.60693</v>
      </c>
      <c r="H31" s="8">
        <f t="shared" si="5"/>
        <v>9277</v>
      </c>
      <c r="I31" s="45" t="s">
        <v>169</v>
      </c>
      <c r="J31" s="46" t="s">
        <v>170</v>
      </c>
      <c r="K31" s="45" t="s">
        <v>171</v>
      </c>
      <c r="L31" s="45" t="s">
        <v>172</v>
      </c>
      <c r="M31" s="46" t="s">
        <v>70</v>
      </c>
      <c r="N31" s="46" t="s">
        <v>153</v>
      </c>
      <c r="O31" s="47" t="s">
        <v>154</v>
      </c>
      <c r="P31" s="48" t="s">
        <v>155</v>
      </c>
    </row>
    <row r="32" spans="1:16" ht="12.75" customHeight="1" thickBot="1">
      <c r="A32" s="8" t="str">
        <f t="shared" si="0"/>
        <v>IBVS 6029 </v>
      </c>
      <c r="B32" s="3" t="str">
        <f t="shared" si="1"/>
        <v>I</v>
      </c>
      <c r="C32" s="8">
        <f t="shared" si="2"/>
        <v>56049.700199999999</v>
      </c>
      <c r="D32" s="10" t="str">
        <f t="shared" si="3"/>
        <v>vis</v>
      </c>
      <c r="E32" s="44">
        <f>VLOOKUP(C32,Active!C$21:E$973,3,FALSE)</f>
        <v>9406.0021694676925</v>
      </c>
      <c r="F32" s="3" t="s">
        <v>65</v>
      </c>
      <c r="G32" s="10" t="str">
        <f t="shared" si="4"/>
        <v>56049.7002</v>
      </c>
      <c r="H32" s="8">
        <f t="shared" si="5"/>
        <v>9406</v>
      </c>
      <c r="I32" s="45" t="s">
        <v>173</v>
      </c>
      <c r="J32" s="46" t="s">
        <v>174</v>
      </c>
      <c r="K32" s="45" t="s">
        <v>175</v>
      </c>
      <c r="L32" s="45" t="s">
        <v>176</v>
      </c>
      <c r="M32" s="46" t="s">
        <v>70</v>
      </c>
      <c r="N32" s="46" t="s">
        <v>65</v>
      </c>
      <c r="O32" s="47" t="s">
        <v>88</v>
      </c>
      <c r="P32" s="48" t="s">
        <v>164</v>
      </c>
    </row>
    <row r="33" spans="1:16" ht="12.75" customHeight="1" thickBot="1">
      <c r="A33" s="8" t="str">
        <f t="shared" si="0"/>
        <v>BAVM 209 </v>
      </c>
      <c r="B33" s="3" t="str">
        <f t="shared" si="1"/>
        <v>II</v>
      </c>
      <c r="C33" s="8">
        <f t="shared" si="2"/>
        <v>54924.378100000002</v>
      </c>
      <c r="D33" s="10" t="str">
        <f t="shared" si="3"/>
        <v>vis</v>
      </c>
      <c r="E33" s="44">
        <f>VLOOKUP(C33,Active!C$21:E$973,3,FALSE)</f>
        <v>5269.5230957149888</v>
      </c>
      <c r="F33" s="3" t="s">
        <v>65</v>
      </c>
      <c r="G33" s="10" t="str">
        <f t="shared" si="4"/>
        <v>54924.3781</v>
      </c>
      <c r="H33" s="8">
        <f t="shared" si="5"/>
        <v>5269.5</v>
      </c>
      <c r="I33" s="45" t="s">
        <v>94</v>
      </c>
      <c r="J33" s="46" t="s">
        <v>95</v>
      </c>
      <c r="K33" s="45" t="s">
        <v>92</v>
      </c>
      <c r="L33" s="45" t="s">
        <v>96</v>
      </c>
      <c r="M33" s="46" t="s">
        <v>70</v>
      </c>
      <c r="N33" s="46" t="s">
        <v>76</v>
      </c>
      <c r="O33" s="47" t="s">
        <v>77</v>
      </c>
      <c r="P33" s="48" t="s">
        <v>78</v>
      </c>
    </row>
    <row r="34" spans="1:16" ht="12.75" customHeight="1" thickBot="1">
      <c r="A34" s="8" t="str">
        <f t="shared" si="0"/>
        <v>BAVM 212 </v>
      </c>
      <c r="B34" s="3" t="str">
        <f t="shared" si="1"/>
        <v>I</v>
      </c>
      <c r="C34" s="8">
        <f t="shared" si="2"/>
        <v>54972.389799999997</v>
      </c>
      <c r="D34" s="10" t="str">
        <f t="shared" si="3"/>
        <v>vis</v>
      </c>
      <c r="E34" s="44">
        <f>VLOOKUP(C34,Active!C$21:E$973,3,FALSE)</f>
        <v>5446.0053600775873</v>
      </c>
      <c r="F34" s="3" t="s">
        <v>65</v>
      </c>
      <c r="G34" s="10" t="str">
        <f t="shared" si="4"/>
        <v>54972.3898</v>
      </c>
      <c r="H34" s="8">
        <f t="shared" si="5"/>
        <v>5446</v>
      </c>
      <c r="I34" s="45" t="s">
        <v>111</v>
      </c>
      <c r="J34" s="46" t="s">
        <v>112</v>
      </c>
      <c r="K34" s="45" t="s">
        <v>113</v>
      </c>
      <c r="L34" s="45" t="s">
        <v>114</v>
      </c>
      <c r="M34" s="46" t="s">
        <v>70</v>
      </c>
      <c r="N34" s="46" t="s">
        <v>76</v>
      </c>
      <c r="O34" s="47" t="s">
        <v>93</v>
      </c>
      <c r="P34" s="48" t="s">
        <v>115</v>
      </c>
    </row>
    <row r="35" spans="1:16" ht="12.75" customHeight="1" thickBot="1">
      <c r="A35" s="8" t="str">
        <f t="shared" si="0"/>
        <v>BAVM 212 </v>
      </c>
      <c r="B35" s="3" t="str">
        <f t="shared" si="1"/>
        <v>II</v>
      </c>
      <c r="C35" s="8">
        <f t="shared" si="2"/>
        <v>54972.525099999999</v>
      </c>
      <c r="D35" s="10" t="str">
        <f t="shared" si="3"/>
        <v>vis</v>
      </c>
      <c r="E35" s="44">
        <f>VLOOKUP(C35,Active!C$21:E$973,3,FALSE)</f>
        <v>5446.5026982340896</v>
      </c>
      <c r="F35" s="3" t="s">
        <v>65</v>
      </c>
      <c r="G35" s="10" t="str">
        <f t="shared" si="4"/>
        <v>54972.5251</v>
      </c>
      <c r="H35" s="8">
        <f t="shared" si="5"/>
        <v>5446.5</v>
      </c>
      <c r="I35" s="45" t="s">
        <v>116</v>
      </c>
      <c r="J35" s="46" t="s">
        <v>117</v>
      </c>
      <c r="K35" s="45" t="s">
        <v>118</v>
      </c>
      <c r="L35" s="45" t="s">
        <v>100</v>
      </c>
      <c r="M35" s="46" t="s">
        <v>70</v>
      </c>
      <c r="N35" s="46" t="s">
        <v>76</v>
      </c>
      <c r="O35" s="47" t="s">
        <v>93</v>
      </c>
      <c r="P35" s="48" t="s">
        <v>115</v>
      </c>
    </row>
    <row r="36" spans="1:16">
      <c r="B36" s="3"/>
      <c r="F36" s="3"/>
    </row>
    <row r="37" spans="1:16">
      <c r="B37" s="3"/>
      <c r="F37" s="3"/>
    </row>
    <row r="38" spans="1:16">
      <c r="B38" s="3"/>
      <c r="F38" s="3"/>
    </row>
    <row r="39" spans="1:16">
      <c r="B39" s="3"/>
      <c r="F39" s="3"/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</sheetData>
  <phoneticPr fontId="7" type="noConversion"/>
  <hyperlinks>
    <hyperlink ref="P11" r:id="rId1" display="http://www.konkoly.hu/cgi-bin/IBVS?5781" xr:uid="{00000000-0004-0000-0100-000000000000}"/>
    <hyperlink ref="P12" r:id="rId2" display="http://www.bav-astro.de/sfs/BAVM_link.php?BAVMnr=209" xr:uid="{00000000-0004-0000-0100-000001000000}"/>
    <hyperlink ref="P13" r:id="rId3" display="http://www.konkoly.hu/cgi-bin/IBVS?5875" xr:uid="{00000000-0004-0000-0100-000002000000}"/>
    <hyperlink ref="P14" r:id="rId4" display="http://www.konkoly.hu/cgi-bin/IBVS?5894" xr:uid="{00000000-0004-0000-0100-000003000000}"/>
    <hyperlink ref="P15" r:id="rId5" display="http://www.bav-astro.de/sfs/BAVM_link.php?BAVMnr=209" xr:uid="{00000000-0004-0000-0100-000004000000}"/>
    <hyperlink ref="P33" r:id="rId6" display="http://www.bav-astro.de/sfs/BAVM_link.php?BAVMnr=209" xr:uid="{00000000-0004-0000-0100-000005000000}"/>
    <hyperlink ref="P16" r:id="rId7" display="http://www.bav-astro.de/sfs/BAVM_link.php?BAVMnr=209" xr:uid="{00000000-0004-0000-0100-000006000000}"/>
    <hyperlink ref="P17" r:id="rId8" display="http://www.bav-astro.de/sfs/BAVM_link.php?BAVMnr=209" xr:uid="{00000000-0004-0000-0100-000007000000}"/>
    <hyperlink ref="P18" r:id="rId9" display="http://www.bav-astro.de/sfs/BAVM_link.php?BAVMnr=209" xr:uid="{00000000-0004-0000-0100-000008000000}"/>
    <hyperlink ref="P19" r:id="rId10" display="http://www.konkoly.hu/cgi-bin/IBVS?5894" xr:uid="{00000000-0004-0000-0100-000009000000}"/>
    <hyperlink ref="P34" r:id="rId11" display="http://www.bav-astro.de/sfs/BAVM_link.php?BAVMnr=212" xr:uid="{00000000-0004-0000-0100-00000A000000}"/>
    <hyperlink ref="P35" r:id="rId12" display="http://www.bav-astro.de/sfs/BAVM_link.php?BAVMnr=212" xr:uid="{00000000-0004-0000-0100-00000B000000}"/>
    <hyperlink ref="P20" r:id="rId13" display="http://www.konkoly.hu/cgi-bin/IBVS?5894" xr:uid="{00000000-0004-0000-0100-00000C000000}"/>
    <hyperlink ref="P21" r:id="rId14" display="http://www.konkoly.hu/cgi-bin/IBVS?5960" xr:uid="{00000000-0004-0000-0100-00000D000000}"/>
    <hyperlink ref="P22" r:id="rId15" display="http://www.bav-astro.de/sfs/BAVM_link.php?BAVMnr=220" xr:uid="{00000000-0004-0000-0100-00000E000000}"/>
    <hyperlink ref="P23" r:id="rId16" display="http://www.bav-astro.de/sfs/BAVM_link.php?BAVMnr=220" xr:uid="{00000000-0004-0000-0100-00000F000000}"/>
    <hyperlink ref="P24" r:id="rId17" display="http://www.konkoly.hu/cgi-bin/IBVS?5992" xr:uid="{00000000-0004-0000-0100-000010000000}"/>
    <hyperlink ref="P25" r:id="rId18" display="http://www.bav-astro.de/sfs/BAVM_link.php?BAVMnr=220" xr:uid="{00000000-0004-0000-0100-000011000000}"/>
    <hyperlink ref="P26" r:id="rId19" display="http://www.bav-astro.de/sfs/BAVM_link.php?BAVMnr=220" xr:uid="{00000000-0004-0000-0100-000012000000}"/>
    <hyperlink ref="P27" r:id="rId20" display="http://var.astro.cz/oejv/issues/oejv0160.pdf" xr:uid="{00000000-0004-0000-0100-000013000000}"/>
    <hyperlink ref="P28" r:id="rId21" display="http://var.astro.cz/oejv/issues/oejv0160.pdf" xr:uid="{00000000-0004-0000-0100-000014000000}"/>
    <hyperlink ref="P29" r:id="rId22" display="http://www.konkoly.hu/cgi-bin/IBVS?6029" xr:uid="{00000000-0004-0000-0100-000015000000}"/>
    <hyperlink ref="P30" r:id="rId23" display="http://var.astro.cz/oejv/issues/oejv0160.pdf" xr:uid="{00000000-0004-0000-0100-000016000000}"/>
    <hyperlink ref="P31" r:id="rId24" display="http://var.astro.cz/oejv/issues/oejv0160.pdf" xr:uid="{00000000-0004-0000-0100-000017000000}"/>
    <hyperlink ref="P32" r:id="rId25" display="http://www.konkoly.hu/cgi-bin/IBVS?6029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2024-07-27T08:17:09Z</dcterms:modified>
</cp:coreProperties>
</file>