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1E17015-CB52-4D1A-9920-5EE6B7007569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9" i="3" l="1"/>
  <c r="F89" i="3"/>
  <c r="G89" i="3"/>
  <c r="K89" i="3"/>
  <c r="Q89" i="3"/>
  <c r="E89" i="1"/>
  <c r="F89" i="1"/>
  <c r="G89" i="1"/>
  <c r="K89" i="1"/>
  <c r="Q89" i="1"/>
  <c r="C9" i="3"/>
  <c r="D9" i="3"/>
  <c r="E21" i="3"/>
  <c r="F21" i="3"/>
  <c r="G21" i="3"/>
  <c r="E22" i="3"/>
  <c r="F22" i="3"/>
  <c r="G22" i="3"/>
  <c r="K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E30" i="3"/>
  <c r="F30" i="3"/>
  <c r="G30" i="3"/>
  <c r="E31" i="3"/>
  <c r="F31" i="3"/>
  <c r="G31" i="3"/>
  <c r="K31" i="3"/>
  <c r="E32" i="3"/>
  <c r="F32" i="3"/>
  <c r="G32" i="3"/>
  <c r="K32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N36" i="3"/>
  <c r="E37" i="3"/>
  <c r="F37" i="3"/>
  <c r="G37" i="3"/>
  <c r="E38" i="3"/>
  <c r="F38" i="3"/>
  <c r="G38" i="3"/>
  <c r="E40" i="3"/>
  <c r="F40" i="3"/>
  <c r="G40" i="3"/>
  <c r="K40" i="3"/>
  <c r="E41" i="3"/>
  <c r="F41" i="3"/>
  <c r="G41" i="3"/>
  <c r="K41" i="3"/>
  <c r="E42" i="3"/>
  <c r="F42" i="3"/>
  <c r="G42" i="3"/>
  <c r="K42" i="3"/>
  <c r="E43" i="3"/>
  <c r="F43" i="3"/>
  <c r="G43" i="3"/>
  <c r="K43" i="3"/>
  <c r="E44" i="3"/>
  <c r="F44" i="3"/>
  <c r="G44" i="3"/>
  <c r="K44" i="3"/>
  <c r="E45" i="3"/>
  <c r="F45" i="3"/>
  <c r="G45" i="3"/>
  <c r="K45" i="3"/>
  <c r="E46" i="3"/>
  <c r="F46" i="3"/>
  <c r="G46" i="3"/>
  <c r="K46" i="3"/>
  <c r="E47" i="3"/>
  <c r="F47" i="3"/>
  <c r="G47" i="3"/>
  <c r="K47" i="3"/>
  <c r="E48" i="3"/>
  <c r="F48" i="3"/>
  <c r="G48" i="3"/>
  <c r="K48" i="3"/>
  <c r="E49" i="3"/>
  <c r="F49" i="3"/>
  <c r="G49" i="3"/>
  <c r="K49" i="3"/>
  <c r="E50" i="3"/>
  <c r="F50" i="3"/>
  <c r="G50" i="3"/>
  <c r="K50" i="3"/>
  <c r="E51" i="3"/>
  <c r="F51" i="3"/>
  <c r="G51" i="3"/>
  <c r="K51" i="3"/>
  <c r="E52" i="3"/>
  <c r="F52" i="3"/>
  <c r="G52" i="3"/>
  <c r="K52" i="3"/>
  <c r="E39" i="3"/>
  <c r="F39" i="3"/>
  <c r="F16" i="3"/>
  <c r="C17" i="3"/>
  <c r="K21" i="3"/>
  <c r="Q21" i="3"/>
  <c r="Q22" i="3"/>
  <c r="Q23" i="3"/>
  <c r="Q24" i="3"/>
  <c r="Q25" i="3"/>
  <c r="Q26" i="3"/>
  <c r="Q27" i="3"/>
  <c r="Q28" i="3"/>
  <c r="K29" i="3"/>
  <c r="Q29" i="3"/>
  <c r="K30" i="3"/>
  <c r="Q30" i="3"/>
  <c r="Q31" i="3"/>
  <c r="Q32" i="3"/>
  <c r="Q33" i="3"/>
  <c r="Q34" i="3"/>
  <c r="Q35" i="3"/>
  <c r="Q36" i="3"/>
  <c r="K37" i="3"/>
  <c r="Q37" i="3"/>
  <c r="K38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G55" i="3"/>
  <c r="I55" i="3"/>
  <c r="Q55" i="3"/>
  <c r="E56" i="3"/>
  <c r="F56" i="3"/>
  <c r="G56" i="3"/>
  <c r="I56" i="3"/>
  <c r="Q56" i="3"/>
  <c r="E57" i="3"/>
  <c r="F57" i="3"/>
  <c r="G57" i="3"/>
  <c r="I57" i="3"/>
  <c r="Q57" i="3"/>
  <c r="E58" i="3"/>
  <c r="F58" i="3"/>
  <c r="G58" i="3"/>
  <c r="I58" i="3"/>
  <c r="Q58" i="3"/>
  <c r="E59" i="3"/>
  <c r="F59" i="3"/>
  <c r="G59" i="3"/>
  <c r="I59" i="3"/>
  <c r="Q59" i="3"/>
  <c r="E60" i="3"/>
  <c r="F60" i="3"/>
  <c r="G60" i="3"/>
  <c r="I60" i="3"/>
  <c r="Q60" i="3"/>
  <c r="E61" i="3"/>
  <c r="F61" i="3"/>
  <c r="G61" i="3"/>
  <c r="I61" i="3"/>
  <c r="Q61" i="3"/>
  <c r="E62" i="3"/>
  <c r="F62" i="3"/>
  <c r="G62" i="3"/>
  <c r="I62" i="3"/>
  <c r="Q62" i="3"/>
  <c r="E63" i="3"/>
  <c r="F63" i="3"/>
  <c r="G63" i="3"/>
  <c r="I63" i="3"/>
  <c r="Q63" i="3"/>
  <c r="E64" i="3"/>
  <c r="F64" i="3"/>
  <c r="G64" i="3"/>
  <c r="K64" i="3"/>
  <c r="Q64" i="3"/>
  <c r="E65" i="3"/>
  <c r="F65" i="3"/>
  <c r="G65" i="3"/>
  <c r="K65" i="3"/>
  <c r="Q65" i="3"/>
  <c r="E66" i="3"/>
  <c r="F66" i="3"/>
  <c r="G66" i="3"/>
  <c r="J66" i="3"/>
  <c r="Q66" i="3"/>
  <c r="E67" i="3"/>
  <c r="F67" i="3"/>
  <c r="G67" i="3"/>
  <c r="K67" i="3"/>
  <c r="Q67" i="3"/>
  <c r="E68" i="3"/>
  <c r="F68" i="3"/>
  <c r="G68" i="3"/>
  <c r="K68" i="3"/>
  <c r="Q68" i="3"/>
  <c r="E69" i="3"/>
  <c r="F69" i="3"/>
  <c r="G69" i="3"/>
  <c r="K69" i="3"/>
  <c r="Q69" i="3"/>
  <c r="E70" i="3"/>
  <c r="F70" i="3"/>
  <c r="G70" i="3"/>
  <c r="I70" i="3"/>
  <c r="Q70" i="3"/>
  <c r="E71" i="3"/>
  <c r="F71" i="3"/>
  <c r="G71" i="3"/>
  <c r="K71" i="3"/>
  <c r="Q71" i="3"/>
  <c r="E72" i="3"/>
  <c r="F72" i="3"/>
  <c r="G72" i="3"/>
  <c r="I72" i="3"/>
  <c r="Q72" i="3"/>
  <c r="E73" i="3"/>
  <c r="F73" i="3"/>
  <c r="G73" i="3"/>
  <c r="K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K76" i="3"/>
  <c r="Q76" i="3"/>
  <c r="E77" i="3"/>
  <c r="F77" i="3"/>
  <c r="G77" i="3"/>
  <c r="K77" i="3"/>
  <c r="Q77" i="3"/>
  <c r="E78" i="3"/>
  <c r="F78" i="3"/>
  <c r="G78" i="3"/>
  <c r="K78" i="3"/>
  <c r="Q78" i="3"/>
  <c r="E79" i="3"/>
  <c r="F79" i="3"/>
  <c r="G79" i="3"/>
  <c r="K79" i="3"/>
  <c r="Q79" i="3"/>
  <c r="E80" i="3"/>
  <c r="F80" i="3"/>
  <c r="G80" i="3"/>
  <c r="K80" i="3"/>
  <c r="Q80" i="3"/>
  <c r="E81" i="3"/>
  <c r="F81" i="3"/>
  <c r="G81" i="3"/>
  <c r="K81" i="3"/>
  <c r="Q81" i="3"/>
  <c r="E82" i="3"/>
  <c r="F82" i="3"/>
  <c r="G82" i="3"/>
  <c r="K82" i="3"/>
  <c r="Q82" i="3"/>
  <c r="E83" i="3"/>
  <c r="F83" i="3"/>
  <c r="G83" i="3"/>
  <c r="K83" i="3"/>
  <c r="Q83" i="3"/>
  <c r="E84" i="3"/>
  <c r="F84" i="3"/>
  <c r="G84" i="3"/>
  <c r="K84" i="3"/>
  <c r="Q84" i="3"/>
  <c r="E85" i="3"/>
  <c r="F85" i="3"/>
  <c r="G85" i="3"/>
  <c r="K85" i="3"/>
  <c r="Q85" i="3"/>
  <c r="E86" i="3"/>
  <c r="F86" i="3"/>
  <c r="G86" i="3"/>
  <c r="K86" i="3"/>
  <c r="Q86" i="3"/>
  <c r="E87" i="3"/>
  <c r="F87" i="3"/>
  <c r="G87" i="3"/>
  <c r="K87" i="3"/>
  <c r="Q87" i="3"/>
  <c r="E88" i="3"/>
  <c r="F88" i="3"/>
  <c r="G88" i="3"/>
  <c r="K88" i="3"/>
  <c r="Q88" i="3"/>
  <c r="E87" i="1"/>
  <c r="F87" i="1"/>
  <c r="G87" i="1"/>
  <c r="K87" i="1"/>
  <c r="E88" i="1"/>
  <c r="F88" i="1"/>
  <c r="G88" i="1"/>
  <c r="K88" i="1"/>
  <c r="Q88" i="1"/>
  <c r="E21" i="1"/>
  <c r="F21" i="1"/>
  <c r="G21" i="1"/>
  <c r="K21" i="1"/>
  <c r="E22" i="1"/>
  <c r="F22" i="1"/>
  <c r="G22" i="1"/>
  <c r="K22" i="1"/>
  <c r="E23" i="1"/>
  <c r="F23" i="1"/>
  <c r="G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E30" i="1"/>
  <c r="F30" i="1"/>
  <c r="G30" i="1"/>
  <c r="K30" i="1"/>
  <c r="E31" i="1"/>
  <c r="F31" i="1"/>
  <c r="G31" i="1"/>
  <c r="E32" i="1"/>
  <c r="F32" i="1"/>
  <c r="G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E37" i="1"/>
  <c r="F37" i="1"/>
  <c r="G37" i="1"/>
  <c r="K37" i="1"/>
  <c r="E38" i="1"/>
  <c r="F38" i="1"/>
  <c r="G38" i="1"/>
  <c r="E40" i="1"/>
  <c r="F40" i="1"/>
  <c r="G40" i="1"/>
  <c r="K40" i="1"/>
  <c r="E41" i="1"/>
  <c r="F41" i="1"/>
  <c r="G41" i="1"/>
  <c r="K41" i="1"/>
  <c r="E42" i="1"/>
  <c r="F42" i="1"/>
  <c r="G42" i="1"/>
  <c r="E43" i="1"/>
  <c r="F43" i="1"/>
  <c r="G43" i="1"/>
  <c r="E44" i="1"/>
  <c r="F44" i="1"/>
  <c r="G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E49" i="1"/>
  <c r="F49" i="1"/>
  <c r="G49" i="1"/>
  <c r="K49" i="1"/>
  <c r="E50" i="1"/>
  <c r="F50" i="1"/>
  <c r="G50" i="1"/>
  <c r="E51" i="1"/>
  <c r="F51" i="1"/>
  <c r="G51" i="1"/>
  <c r="E52" i="1"/>
  <c r="F52" i="1"/>
  <c r="G52" i="1"/>
  <c r="E39" i="1"/>
  <c r="F39" i="1"/>
  <c r="E53" i="1"/>
  <c r="F53" i="1"/>
  <c r="G53" i="1"/>
  <c r="K53" i="1"/>
  <c r="E54" i="1"/>
  <c r="F54" i="1"/>
  <c r="G54" i="1"/>
  <c r="K54" i="1"/>
  <c r="E55" i="1"/>
  <c r="F55" i="1"/>
  <c r="G55" i="1"/>
  <c r="I55" i="1"/>
  <c r="E56" i="1"/>
  <c r="F56" i="1"/>
  <c r="G56" i="1"/>
  <c r="E57" i="1"/>
  <c r="F57" i="1"/>
  <c r="G57" i="1"/>
  <c r="I57" i="1"/>
  <c r="E58" i="1"/>
  <c r="F58" i="1"/>
  <c r="G58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E65" i="1"/>
  <c r="F65" i="1"/>
  <c r="G65" i="1"/>
  <c r="K65" i="1"/>
  <c r="E66" i="1"/>
  <c r="F66" i="1"/>
  <c r="G66" i="1"/>
  <c r="J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I70" i="1"/>
  <c r="E71" i="1"/>
  <c r="F71" i="1"/>
  <c r="G71" i="1"/>
  <c r="K71" i="1"/>
  <c r="E72" i="1"/>
  <c r="F72" i="1"/>
  <c r="G72" i="1"/>
  <c r="I72" i="1"/>
  <c r="E73" i="1"/>
  <c r="F73" i="1"/>
  <c r="G73" i="1"/>
  <c r="K73" i="1"/>
  <c r="E74" i="1"/>
  <c r="F74" i="1"/>
  <c r="G74" i="1"/>
  <c r="E75" i="1"/>
  <c r="F75" i="1"/>
  <c r="G75" i="1"/>
  <c r="J75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K85" i="1"/>
  <c r="E86" i="1"/>
  <c r="F86" i="1"/>
  <c r="G86" i="1"/>
  <c r="K86" i="1"/>
  <c r="Q87" i="1"/>
  <c r="Q70" i="1"/>
  <c r="Q72" i="1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30" i="2"/>
  <c r="C30" i="2"/>
  <c r="E30" i="2"/>
  <c r="G14" i="2"/>
  <c r="C14" i="2"/>
  <c r="E14" i="2"/>
  <c r="G29" i="2"/>
  <c r="C29" i="2"/>
  <c r="E29" i="2"/>
  <c r="G13" i="2"/>
  <c r="C13" i="2"/>
  <c r="E13" i="2"/>
  <c r="G12" i="2"/>
  <c r="C12" i="2"/>
  <c r="E12" i="2"/>
  <c r="G11" i="2"/>
  <c r="C11" i="2"/>
  <c r="E11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30" i="2"/>
  <c r="D30" i="2"/>
  <c r="B30" i="2"/>
  <c r="A30" i="2"/>
  <c r="H14" i="2"/>
  <c r="B14" i="2"/>
  <c r="D14" i="2"/>
  <c r="A14" i="2"/>
  <c r="H29" i="2"/>
  <c r="D29" i="2"/>
  <c r="B29" i="2"/>
  <c r="A29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81" i="1"/>
  <c r="Q82" i="1"/>
  <c r="Q85" i="1"/>
  <c r="Q86" i="1"/>
  <c r="J74" i="1"/>
  <c r="Q74" i="1"/>
  <c r="Q75" i="1"/>
  <c r="Q80" i="1"/>
  <c r="Q83" i="1"/>
  <c r="Q84" i="1"/>
  <c r="Q55" i="1"/>
  <c r="I56" i="1"/>
  <c r="Q56" i="1"/>
  <c r="Q57" i="1"/>
  <c r="I58" i="1"/>
  <c r="Q58" i="1"/>
  <c r="I59" i="1"/>
  <c r="Q59" i="1"/>
  <c r="Q60" i="1"/>
  <c r="Q61" i="1"/>
  <c r="Q62" i="1"/>
  <c r="Q63" i="1"/>
  <c r="Q76" i="1"/>
  <c r="Q77" i="1"/>
  <c r="Q78" i="1"/>
  <c r="Q79" i="1"/>
  <c r="F16" i="1"/>
  <c r="F17" i="1" s="1"/>
  <c r="C17" i="1"/>
  <c r="N36" i="1"/>
  <c r="Q36" i="1"/>
  <c r="Q73" i="1"/>
  <c r="Q71" i="1"/>
  <c r="Q69" i="1"/>
  <c r="Q68" i="1"/>
  <c r="Q67" i="1"/>
  <c r="Q66" i="1"/>
  <c r="Q21" i="1"/>
  <c r="Q22" i="1"/>
  <c r="K23" i="1"/>
  <c r="Q23" i="1"/>
  <c r="K24" i="1"/>
  <c r="Q24" i="1"/>
  <c r="Q25" i="1"/>
  <c r="Q26" i="1"/>
  <c r="Q27" i="1"/>
  <c r="Q28" i="1"/>
  <c r="K29" i="1"/>
  <c r="Q29" i="1"/>
  <c r="Q30" i="1"/>
  <c r="K31" i="1"/>
  <c r="Q31" i="1"/>
  <c r="K32" i="1"/>
  <c r="Q32" i="1"/>
  <c r="K64" i="1"/>
  <c r="Q64" i="1"/>
  <c r="Q65" i="1"/>
  <c r="Q33" i="1"/>
  <c r="Q34" i="1"/>
  <c r="I35" i="1"/>
  <c r="Q35" i="1"/>
  <c r="Q37" i="1"/>
  <c r="K38" i="1"/>
  <c r="Q38" i="1"/>
  <c r="Q40" i="1"/>
  <c r="Q41" i="1"/>
  <c r="K42" i="1"/>
  <c r="Q42" i="1"/>
  <c r="K43" i="1"/>
  <c r="Q43" i="1"/>
  <c r="K44" i="1"/>
  <c r="Q44" i="1"/>
  <c r="Q45" i="1"/>
  <c r="Q46" i="1"/>
  <c r="Q47" i="1"/>
  <c r="K48" i="1"/>
  <c r="Q48" i="1"/>
  <c r="Q49" i="1"/>
  <c r="K50" i="1"/>
  <c r="Q50" i="1"/>
  <c r="K51" i="1"/>
  <c r="Q51" i="1"/>
  <c r="K52" i="1"/>
  <c r="Q52" i="1"/>
  <c r="Q53" i="1"/>
  <c r="Q54" i="1"/>
  <c r="Q39" i="1"/>
  <c r="C12" i="3"/>
  <c r="C11" i="3"/>
  <c r="C12" i="1"/>
  <c r="C11" i="1"/>
  <c r="O88" i="1" l="1"/>
  <c r="O50" i="1"/>
  <c r="O21" i="1"/>
  <c r="O22" i="1"/>
  <c r="O57" i="1"/>
  <c r="O64" i="1"/>
  <c r="O71" i="1"/>
  <c r="O40" i="1"/>
  <c r="O63" i="1"/>
  <c r="O86" i="1"/>
  <c r="O24" i="1"/>
  <c r="O78" i="1"/>
  <c r="O34" i="1"/>
  <c r="O26" i="1"/>
  <c r="O51" i="1"/>
  <c r="O75" i="1"/>
  <c r="O65" i="1"/>
  <c r="O87" i="1"/>
  <c r="O82" i="1"/>
  <c r="O44" i="1"/>
  <c r="O81" i="1"/>
  <c r="O23" i="1"/>
  <c r="O27" i="1"/>
  <c r="O35" i="1"/>
  <c r="O33" i="1"/>
  <c r="O54" i="1"/>
  <c r="O41" i="1"/>
  <c r="O83" i="1"/>
  <c r="O36" i="1"/>
  <c r="O30" i="1"/>
  <c r="O28" i="1"/>
  <c r="O80" i="1"/>
  <c r="O72" i="1"/>
  <c r="O32" i="1"/>
  <c r="O84" i="1"/>
  <c r="O89" i="1"/>
  <c r="O52" i="1"/>
  <c r="O56" i="1"/>
  <c r="O79" i="1"/>
  <c r="O47" i="1"/>
  <c r="O59" i="1"/>
  <c r="O70" i="1"/>
  <c r="O77" i="1"/>
  <c r="O48" i="1"/>
  <c r="O42" i="1"/>
  <c r="O25" i="1"/>
  <c r="O58" i="1"/>
  <c r="O74" i="1"/>
  <c r="O43" i="1"/>
  <c r="O62" i="1"/>
  <c r="O85" i="1"/>
  <c r="O39" i="1"/>
  <c r="O61" i="1"/>
  <c r="O29" i="1"/>
  <c r="O55" i="1"/>
  <c r="O69" i="1"/>
  <c r="O31" i="1"/>
  <c r="O60" i="1"/>
  <c r="O45" i="1"/>
  <c r="O73" i="1"/>
  <c r="O37" i="1"/>
  <c r="O38" i="1"/>
  <c r="C15" i="1"/>
  <c r="O46" i="1"/>
  <c r="O68" i="1"/>
  <c r="O67" i="1"/>
  <c r="O49" i="1"/>
  <c r="O53" i="1"/>
  <c r="O66" i="1"/>
  <c r="O76" i="1"/>
  <c r="C16" i="1"/>
  <c r="D18" i="1" s="1"/>
  <c r="O62" i="3"/>
  <c r="O32" i="3"/>
  <c r="O61" i="3"/>
  <c r="O30" i="3"/>
  <c r="O56" i="3"/>
  <c r="O88" i="3"/>
  <c r="O42" i="3"/>
  <c r="O79" i="3"/>
  <c r="O66" i="3"/>
  <c r="O65" i="3"/>
  <c r="O60" i="3"/>
  <c r="O50" i="3"/>
  <c r="O35" i="3"/>
  <c r="O72" i="3"/>
  <c r="O34" i="3"/>
  <c r="O21" i="3"/>
  <c r="O43" i="3"/>
  <c r="O38" i="3"/>
  <c r="O28" i="3"/>
  <c r="O83" i="3"/>
  <c r="O40" i="3"/>
  <c r="O25" i="3"/>
  <c r="O63" i="3"/>
  <c r="O48" i="3"/>
  <c r="O46" i="3"/>
  <c r="O33" i="3"/>
  <c r="O76" i="3"/>
  <c r="O67" i="3"/>
  <c r="O45" i="3"/>
  <c r="O22" i="3"/>
  <c r="O75" i="3"/>
  <c r="O29" i="3"/>
  <c r="O70" i="3"/>
  <c r="O51" i="3"/>
  <c r="O69" i="3"/>
  <c r="O41" i="3"/>
  <c r="O64" i="3"/>
  <c r="O36" i="3"/>
  <c r="O55" i="3"/>
  <c r="O87" i="3"/>
  <c r="O78" i="3"/>
  <c r="O77" i="3"/>
  <c r="O47" i="3"/>
  <c r="O57" i="3"/>
  <c r="O84" i="3"/>
  <c r="O37" i="3"/>
  <c r="O74" i="3"/>
  <c r="O27" i="3"/>
  <c r="O73" i="3"/>
  <c r="O49" i="3"/>
  <c r="O68" i="3"/>
  <c r="O39" i="3"/>
  <c r="O59" i="3"/>
  <c r="O26" i="3"/>
  <c r="O82" i="3"/>
  <c r="O81" i="3"/>
  <c r="C15" i="3"/>
  <c r="F18" i="3" s="1"/>
  <c r="O24" i="3"/>
  <c r="O31" i="3"/>
  <c r="O89" i="3"/>
  <c r="O54" i="3"/>
  <c r="O86" i="3"/>
  <c r="O53" i="3"/>
  <c r="O85" i="3"/>
  <c r="O44" i="3"/>
  <c r="O80" i="3"/>
  <c r="O23" i="3"/>
  <c r="O71" i="3"/>
  <c r="O58" i="3"/>
  <c r="O52" i="3"/>
  <c r="C16" i="3"/>
  <c r="D18" i="3" s="1"/>
  <c r="F17" i="3"/>
  <c r="C18" i="1" l="1"/>
  <c r="C18" i="3"/>
  <c r="F19" i="3"/>
  <c r="F18" i="1"/>
  <c r="F19" i="1" s="1"/>
</calcChain>
</file>

<file path=xl/sharedStrings.xml><?xml version="1.0" encoding="utf-8"?>
<sst xmlns="http://schemas.openxmlformats.org/spreadsheetml/2006/main" count="556" uniqueCount="168">
  <si>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</si>
  <si>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</si>
  <si>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</si>
  <si>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</si>
  <si>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</si>
  <si>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</si>
  <si>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</si>
  <si>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</si>
  <si>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</si>
  <si>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</si>
  <si>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</si>
  <si>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</si>
  <si>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</si>
  <si>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</si>
  <si>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</si>
  <si>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</si>
  <si>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</si>
  <si>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</si>
  <si>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</si>
  <si>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</si>
  <si>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</si>
  <si>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</si>
  <si>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</si>
  <si>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</si>
  <si>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</si>
  <si>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</si>
  <si>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</si>
  <si>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</si>
  <si>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</si>
  <si>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</t>
  </si>
  <si>
    <t>II</t>
  </si>
  <si>
    <t>not avail.</t>
  </si>
  <si>
    <t># of data points:</t>
  </si>
  <si>
    <t>EW?</t>
  </si>
  <si>
    <t>IBVS 5713</t>
  </si>
  <si>
    <t>IBVS 5403</t>
  </si>
  <si>
    <t>IBVS 5653</t>
  </si>
  <si>
    <t>IBVS 5438</t>
  </si>
  <si>
    <t>EI CVn / GSC 2548-0936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</si>
  <si>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</si>
  <si>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</si>
  <si>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</si>
  <si>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</si>
  <si>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</si>
  <si>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</si>
  <si>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</si>
  <si>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5875</t>
  </si>
  <si>
    <t>IBVS 5894</t>
  </si>
  <si>
    <t>IBVS 5945</t>
  </si>
  <si>
    <t>Add cycle</t>
  </si>
  <si>
    <t>Old Cycle</t>
  </si>
  <si>
    <t>IBVS 5965</t>
  </si>
  <si>
    <t>IBVS 5959</t>
  </si>
  <si>
    <t>IBVS 5992</t>
  </si>
  <si>
    <t>OEJV 0003</t>
  </si>
  <si>
    <t>IBVS 6029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</si>
  <si>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</si>
  <si>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</si>
  <si>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</si>
  <si>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</si>
  <si>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</si>
  <si>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</si>
  <si>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</si>
  <si>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</si>
  <si>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</si>
  <si>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</si>
  <si>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</si>
  <si>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</si>
  <si>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2454172.4083 </t>
  </si>
  <si>
    <t> 12.03.2007 21:47 </t>
  </si>
  <si>
    <t> 0.0024 </t>
  </si>
  <si>
    <t>C </t>
  </si>
  <si>
    <t> E.Blättler </t>
  </si>
  <si>
    <t>IBVS 5781 </t>
  </si>
  <si>
    <t>2454554.8178 </t>
  </si>
  <si>
    <t> 29.03.2008 07:37 </t>
  </si>
  <si>
    <t> -0.0015 </t>
  </si>
  <si>
    <t> R.Nelson </t>
  </si>
  <si>
    <t>IBVS 5875 </t>
  </si>
  <si>
    <t>2454817.0176 </t>
  </si>
  <si>
    <t> 16.12.2008 12:25 </t>
  </si>
  <si>
    <t> -0.0021 </t>
  </si>
  <si>
    <t>R</t>
  </si>
  <si>
    <t>2454972.4345 </t>
  </si>
  <si>
    <t> 20.05.2009 22:25 </t>
  </si>
  <si>
    <t> -0.0018 </t>
  </si>
  <si>
    <t>-I</t>
  </si>
  <si>
    <t> F.Agerer </t>
  </si>
  <si>
    <t>BAVM 212 </t>
  </si>
  <si>
    <t>2454972.4364 </t>
  </si>
  <si>
    <t> 20.05.2009 22:28 </t>
  </si>
  <si>
    <t>-2677</t>
  </si>
  <si>
    <t> 0.0001 </t>
  </si>
  <si>
    <t>IBVS 5894 </t>
  </si>
  <si>
    <t>2454972.5640 </t>
  </si>
  <si>
    <t> 21.05.2009 01:32 </t>
  </si>
  <si>
    <t>-2676.5</t>
  </si>
  <si>
    <t> -0.0026 </t>
  </si>
  <si>
    <t>2455243.8837 </t>
  </si>
  <si>
    <t> 16.02.2010 09:12 </t>
  </si>
  <si>
    <t>-1636</t>
  </si>
  <si>
    <t> -0.0101 </t>
  </si>
  <si>
    <t> R.Diethelm </t>
  </si>
  <si>
    <t>IBVS 5945 </t>
  </si>
  <si>
    <t>2455315.4722 </t>
  </si>
  <si>
    <t> 28.04.2010 23:19 </t>
  </si>
  <si>
    <t>-1361.5</t>
  </si>
  <si>
    <t> -0.0019 </t>
  </si>
  <si>
    <t>BAVM 214 </t>
  </si>
  <si>
    <t>2455315.6041 </t>
  </si>
  <si>
    <t> 29.04.2010 02:29 </t>
  </si>
  <si>
    <t>-1361</t>
  </si>
  <si>
    <t> -0.0003 </t>
  </si>
  <si>
    <t>2455316.3851 </t>
  </si>
  <si>
    <t> 29.04.2010 21:14 </t>
  </si>
  <si>
    <t>-1358</t>
  </si>
  <si>
    <t> -0.0016 </t>
  </si>
  <si>
    <t>m</t>
  </si>
  <si>
    <t> G.Saral </t>
  </si>
  <si>
    <t>IBVS 5965 </t>
  </si>
  <si>
    <t>2455316.5147 </t>
  </si>
  <si>
    <t> 30.04.2010 00:21 </t>
  </si>
  <si>
    <t>-1357.5</t>
  </si>
  <si>
    <t> -0.0024 </t>
  </si>
  <si>
    <t>2455333.3349 </t>
  </si>
  <si>
    <t> 16.05.2010 20:02 </t>
  </si>
  <si>
    <t>-1293</t>
  </si>
  <si>
    <t> Z.Terzioglu </t>
  </si>
  <si>
    <t>2455333.4639 </t>
  </si>
  <si>
    <t> 16.05.2010 23:08 </t>
  </si>
  <si>
    <t>-1292.5</t>
  </si>
  <si>
    <t> -0.0030 </t>
  </si>
  <si>
    <t>2455637.9112 </t>
  </si>
  <si>
    <t> 17.03.2011 09:52 </t>
  </si>
  <si>
    <t>-125</t>
  </si>
  <si>
    <t> -0.0001 </t>
  </si>
  <si>
    <t>IBVS 5992 </t>
  </si>
  <si>
    <t>2455670.37545 </t>
  </si>
  <si>
    <t> 18.04.2011 21:00 </t>
  </si>
  <si>
    <t>-0.5</t>
  </si>
  <si>
    <t> -0.00127 </t>
  </si>
  <si>
    <t> M.Audejean </t>
  </si>
  <si>
    <t>OEJV 0160 </t>
  </si>
  <si>
    <t>2455670.50705 </t>
  </si>
  <si>
    <t> 19.04.2011 00:10 </t>
  </si>
  <si>
    <t>0</t>
  </si>
  <si>
    <t> -0.00005 </t>
  </si>
  <si>
    <t>2455694.7555 </t>
  </si>
  <si>
    <t> 13.05.2011 06:07 </t>
  </si>
  <si>
    <t>93</t>
  </si>
  <si>
    <t> -0.0028 </t>
  </si>
  <si>
    <t>2455694.8898 </t>
  </si>
  <si>
    <t> 13.05.2011 09:21 </t>
  </si>
  <si>
    <t>93.5</t>
  </si>
  <si>
    <t> 0.0011 </t>
  </si>
  <si>
    <t>2456003.8957 </t>
  </si>
  <si>
    <t> 17.03.2012 09:29 </t>
  </si>
  <si>
    <t>1278.5</t>
  </si>
  <si>
    <t> -0.0009 </t>
  </si>
  <si>
    <t>IBVS 6029 </t>
  </si>
  <si>
    <t>2456077.6921 </t>
  </si>
  <si>
    <t> 30.05.2012 04:36 </t>
  </si>
  <si>
    <t>1561.5</t>
  </si>
  <si>
    <t> -0.0013 </t>
  </si>
  <si>
    <t>BAD?</t>
  </si>
  <si>
    <t>OEJV 0179</t>
  </si>
  <si>
    <t>OEJV 0211</t>
  </si>
  <si>
    <t>Both sheets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</si>
</sst>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24" borderId="0" xfId="0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25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0" fillId="26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27" borderId="0" xfId="0" applyFont="1" applyFill="1" applyAlignment="1"/>
    <xf numFmtId="0" fontId="37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7" fillId="0" borderId="0" xfId="43" applyFont="1" applyAlignment="1">
      <alignment horizontal="left" wrapText="1"/>
    </xf>
    <xf numFmtId="0" fontId="9" fillId="28" borderId="0" xfId="0" applyFont="1" applyFill="1" applyAlignment="1"/>
    <xf numFmtId="0" fontId="5" fillId="0" borderId="0" xfId="43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CVn - O-C Diagr.</a:t>
            </a:r>
          </a:p>
        </c:rich>
      </c:tx>
      <c:layout>
        <c:manualLayout>
          <c:xMode val="edge"/>
          <c:yMode val="edge"/>
          <c:x val="0.329564151815433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C-4A80-A1EC-40A671604CA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12">
                  <c:v>-2.2664346324745566E-3</c:v>
                </c:pt>
                <c:pt idx="13">
                  <c:v>9.3504391334136017E-3</c:v>
                </c:pt>
                <c:pt idx="14">
                  <c:v>1.6685554728610441E-3</c:v>
                </c:pt>
                <c:pt idx="34">
                  <c:v>-1.9700817210832611E-4</c:v>
                </c:pt>
                <c:pt idx="35">
                  <c:v>6.3170402208925225E-3</c:v>
                </c:pt>
                <c:pt idx="36">
                  <c:v>5.7582432273193263E-3</c:v>
                </c:pt>
                <c:pt idx="37">
                  <c:v>-1.7424769830540754E-3</c:v>
                </c:pt>
                <c:pt idx="38">
                  <c:v>-4.2674837459344417E-5</c:v>
                </c:pt>
                <c:pt idx="39">
                  <c:v>3.1454217241844162E-3</c:v>
                </c:pt>
                <c:pt idx="40">
                  <c:v>2.6972855994245037E-3</c:v>
                </c:pt>
                <c:pt idx="41">
                  <c:v>2.0139615153311752E-3</c:v>
                </c:pt>
                <c:pt idx="42">
                  <c:v>4.8492761343368329E-3</c:v>
                </c:pt>
                <c:pt idx="49">
                  <c:v>4.6214227040763944E-5</c:v>
                </c:pt>
                <c:pt idx="51">
                  <c:v>-8.3691201871261001E-4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C-4A80-A1EC-40A671604CA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45">
                  <c:v>2.2322443110169843E-3</c:v>
                </c:pt>
                <c:pt idx="53">
                  <c:v>-2.5891416589729488E-4</c:v>
                </c:pt>
                <c:pt idx="54">
                  <c:v>1.2579596004798077E-3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2C-4A80-A1EC-40A671604CA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0">
                  <c:v>-1.0995877666573506E-2</c:v>
                </c:pt>
                <c:pt idx="1">
                  <c:v>-6.5094193851109594E-3</c:v>
                </c:pt>
                <c:pt idx="2">
                  <c:v>-2.1005621601943858E-3</c:v>
                </c:pt>
                <c:pt idx="3">
                  <c:v>-8.434034461970441E-4</c:v>
                </c:pt>
                <c:pt idx="4">
                  <c:v>4.7347031795652583E-4</c:v>
                </c:pt>
                <c:pt idx="5">
                  <c:v>-3.7218064971966669E-4</c:v>
                </c:pt>
                <c:pt idx="6">
                  <c:v>-1.4553068831446581E-3</c:v>
                </c:pt>
                <c:pt idx="7">
                  <c:v>7.6156687282491475E-4</c:v>
                </c:pt>
                <c:pt idx="8">
                  <c:v>-8.7931162124732509E-4</c:v>
                </c:pt>
                <c:pt idx="9">
                  <c:v>-1.4262051699915901E-3</c:v>
                </c:pt>
                <c:pt idx="10">
                  <c:v>-1.809331399272196E-3</c:v>
                </c:pt>
                <c:pt idx="11">
                  <c:v>-6.9245764461811632E-4</c:v>
                </c:pt>
                <c:pt idx="16">
                  <c:v>2.503332041669637E-3</c:v>
                </c:pt>
                <c:pt idx="17">
                  <c:v>-1.1785516107920557E-3</c:v>
                </c:pt>
                <c:pt idx="19">
                  <c:v>-1.2311357058933936E-3</c:v>
                </c:pt>
                <c:pt idx="20">
                  <c:v>6.2681440904270858E-3</c:v>
                </c:pt>
                <c:pt idx="21">
                  <c:v>2.885017849621363E-3</c:v>
                </c:pt>
                <c:pt idx="22">
                  <c:v>3.7093470964464359E-3</c:v>
                </c:pt>
                <c:pt idx="23">
                  <c:v>4.5143174138502218E-3</c:v>
                </c:pt>
                <c:pt idx="24">
                  <c:v>-2.270834447699599E-4</c:v>
                </c:pt>
                <c:pt idx="25">
                  <c:v>1.588872262800578E-3</c:v>
                </c:pt>
                <c:pt idx="26">
                  <c:v>3.5238623677287251E-3</c:v>
                </c:pt>
                <c:pt idx="27">
                  <c:v>2.8419787049642764E-3</c:v>
                </c:pt>
                <c:pt idx="28">
                  <c:v>8.2831817271653563E-3</c:v>
                </c:pt>
                <c:pt idx="29">
                  <c:v>9.0005548554472625E-4</c:v>
                </c:pt>
                <c:pt idx="30">
                  <c:v>-5.2872172091156244E-4</c:v>
                </c:pt>
                <c:pt idx="31">
                  <c:v>2.7893946244148538E-3</c:v>
                </c:pt>
                <c:pt idx="32">
                  <c:v>2.6648675266187638E-3</c:v>
                </c:pt>
                <c:pt idx="33">
                  <c:v>4.3522438645595685E-3</c:v>
                </c:pt>
                <c:pt idx="43">
                  <c:v>2.1771352767245844E-3</c:v>
                </c:pt>
                <c:pt idx="44">
                  <c:v>2.5940090345102362E-3</c:v>
                </c:pt>
                <c:pt idx="46">
                  <c:v>4.708801738161128E-3</c:v>
                </c:pt>
                <c:pt idx="47">
                  <c:v>4.9954991118283942E-4</c:v>
                </c:pt>
                <c:pt idx="48">
                  <c:v>-1.6731180221540853E-4</c:v>
                </c:pt>
                <c:pt idx="50">
                  <c:v>1.9462142226984724E-3</c:v>
                </c:pt>
                <c:pt idx="52">
                  <c:v>-8.4226102917455137E-3</c:v>
                </c:pt>
                <c:pt idx="55">
                  <c:v>-4.0797815017867833E-5</c:v>
                </c:pt>
                <c:pt idx="56">
                  <c:v>-8.2392404874553904E-4</c:v>
                </c:pt>
                <c:pt idx="57">
                  <c:v>-4.7208566684275866E-5</c:v>
                </c:pt>
                <c:pt idx="58">
                  <c:v>-1.4303347998065874E-3</c:v>
                </c:pt>
                <c:pt idx="59">
                  <c:v>1.2699028375209309E-3</c:v>
                </c:pt>
                <c:pt idx="60">
                  <c:v>1.2146992958150804E-4</c:v>
                </c:pt>
                <c:pt idx="61">
                  <c:v>1.3383436962612905E-3</c:v>
                </c:pt>
                <c:pt idx="62">
                  <c:v>-1.4731363044120371E-3</c:v>
                </c:pt>
                <c:pt idx="63">
                  <c:v>2.4437374595436268E-3</c:v>
                </c:pt>
                <c:pt idx="64">
                  <c:v>3.3455681841587648E-4</c:v>
                </c:pt>
                <c:pt idx="65">
                  <c:v>-1.1489307507872581E-4</c:v>
                </c:pt>
                <c:pt idx="66">
                  <c:v>2.0650759834097698E-3</c:v>
                </c:pt>
                <c:pt idx="67">
                  <c:v>-1.241128527908586E-3</c:v>
                </c:pt>
                <c:pt idx="68">
                  <c:v>1.4373426463862415E-2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C-4A80-A1EC-40A671604CA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2C-4A80-A1EC-40A671604CA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2C-4A80-A1EC-40A671604CA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2C-4A80-A1EC-40A671604CA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0">
                  <c:v>-5.6029022973371661E-6</c:v>
                </c:pt>
                <c:pt idx="1">
                  <c:v>1.2536071704026888E-5</c:v>
                </c:pt>
                <c:pt idx="2">
                  <c:v>5.5196870506209693E-4</c:v>
                </c:pt>
                <c:pt idx="3">
                  <c:v>5.6682436329466796E-4</c:v>
                </c:pt>
                <c:pt idx="4">
                  <c:v>5.6687818814333667E-4</c:v>
                </c:pt>
                <c:pt idx="5">
                  <c:v>5.6800850996538009E-4</c:v>
                </c:pt>
                <c:pt idx="6">
                  <c:v>5.6806233481404892E-4</c:v>
                </c:pt>
                <c:pt idx="7">
                  <c:v>5.6811615966271764E-4</c:v>
                </c:pt>
                <c:pt idx="8">
                  <c:v>5.7915025363980844E-4</c:v>
                </c:pt>
                <c:pt idx="9">
                  <c:v>5.7995762636983954E-4</c:v>
                </c:pt>
                <c:pt idx="10">
                  <c:v>5.8001145121850826E-4</c:v>
                </c:pt>
                <c:pt idx="11">
                  <c:v>5.8006527606717698E-4</c:v>
                </c:pt>
                <c:pt idx="12">
                  <c:v>6.1715059679993598E-4</c:v>
                </c:pt>
                <c:pt idx="13">
                  <c:v>6.172044216486047E-4</c:v>
                </c:pt>
                <c:pt idx="14">
                  <c:v>6.1758119558928584E-4</c:v>
                </c:pt>
                <c:pt idx="15">
                  <c:v>6.9072916493009774E-4</c:v>
                </c:pt>
                <c:pt idx="16">
                  <c:v>7.0892196378013041E-4</c:v>
                </c:pt>
                <c:pt idx="17">
                  <c:v>7.0929873772081155E-4</c:v>
                </c:pt>
                <c:pt idx="18">
                  <c:v>7.1295882743028561E-4</c:v>
                </c:pt>
                <c:pt idx="19">
                  <c:v>7.1295882743028561E-4</c:v>
                </c:pt>
                <c:pt idx="20">
                  <c:v>7.1710334077777825E-4</c:v>
                </c:pt>
                <c:pt idx="21">
                  <c:v>7.1715716562644697E-4</c:v>
                </c:pt>
                <c:pt idx="22">
                  <c:v>7.1914868502719021E-4</c:v>
                </c:pt>
                <c:pt idx="23">
                  <c:v>7.2044048139523989E-4</c:v>
                </c:pt>
                <c:pt idx="24">
                  <c:v>7.2700711293282563E-4</c:v>
                </c:pt>
                <c:pt idx="25">
                  <c:v>7.398174269159848E-4</c:v>
                </c:pt>
                <c:pt idx="26">
                  <c:v>7.4024802570533466E-4</c:v>
                </c:pt>
                <c:pt idx="27">
                  <c:v>7.406247996460158E-4</c:v>
                </c:pt>
                <c:pt idx="28">
                  <c:v>7.4267014389542776E-4</c:v>
                </c:pt>
                <c:pt idx="29">
                  <c:v>7.4272396874409648E-4</c:v>
                </c:pt>
                <c:pt idx="30">
                  <c:v>7.4390811541480873E-4</c:v>
                </c:pt>
                <c:pt idx="31">
                  <c:v>7.4428488935548986E-4</c:v>
                </c:pt>
                <c:pt idx="32">
                  <c:v>7.5090534574174432E-4</c:v>
                </c:pt>
                <c:pt idx="33">
                  <c:v>7.5628783060861793E-4</c:v>
                </c:pt>
                <c:pt idx="34">
                  <c:v>7.7814071916812466E-4</c:v>
                </c:pt>
                <c:pt idx="35">
                  <c:v>8.4676740122076278E-4</c:v>
                </c:pt>
                <c:pt idx="36">
                  <c:v>8.4881274547017474E-4</c:v>
                </c:pt>
                <c:pt idx="37">
                  <c:v>8.5295725881766738E-4</c:v>
                </c:pt>
                <c:pt idx="38">
                  <c:v>8.6156923460466509E-4</c:v>
                </c:pt>
                <c:pt idx="39">
                  <c:v>8.6280720612404605E-4</c:v>
                </c:pt>
                <c:pt idx="40">
                  <c:v>8.6329162976206473E-4</c:v>
                </c:pt>
                <c:pt idx="41">
                  <c:v>8.7195743039773115E-4</c:v>
                </c:pt>
                <c:pt idx="42">
                  <c:v>8.8546746741358377E-4</c:v>
                </c:pt>
                <c:pt idx="43">
                  <c:v>8.9703980987736198E-4</c:v>
                </c:pt>
                <c:pt idx="44">
                  <c:v>8.970936347260307E-4</c:v>
                </c:pt>
                <c:pt idx="45">
                  <c:v>1.0283186157804087E-3</c:v>
                </c:pt>
                <c:pt idx="46">
                  <c:v>1.1781669944741691E-3</c:v>
                </c:pt>
                <c:pt idx="47">
                  <c:v>1.3360352756195712E-3</c:v>
                </c:pt>
                <c:pt idx="48">
                  <c:v>1.4442770462923986E-3</c:v>
                </c:pt>
                <c:pt idx="49">
                  <c:v>1.5084362659055317E-3</c:v>
                </c:pt>
                <c:pt idx="50">
                  <c:v>1.5084362659055317E-3</c:v>
                </c:pt>
                <c:pt idx="51">
                  <c:v>1.5084900907542005E-3</c:v>
                </c:pt>
                <c:pt idx="52">
                  <c:v>1.6204996008338398E-3</c:v>
                </c:pt>
                <c:pt idx="53">
                  <c:v>1.6500494427529756E-3</c:v>
                </c:pt>
                <c:pt idx="54">
                  <c:v>1.6501032676016444E-3</c:v>
                </c:pt>
                <c:pt idx="55">
                  <c:v>1.6504262166936569E-3</c:v>
                </c:pt>
                <c:pt idx="56">
                  <c:v>1.6504800415423255E-3</c:v>
                </c:pt>
                <c:pt idx="57">
                  <c:v>1.6574234470205923E-3</c:v>
                </c:pt>
                <c:pt idx="58">
                  <c:v>1.6574772718692611E-3</c:v>
                </c:pt>
                <c:pt idx="59">
                  <c:v>1.7831582935107593E-3</c:v>
                </c:pt>
                <c:pt idx="60">
                  <c:v>1.7965606808292745E-3</c:v>
                </c:pt>
                <c:pt idx="61">
                  <c:v>1.7966145056779433E-3</c:v>
                </c:pt>
                <c:pt idx="62">
                  <c:v>1.806625927530328E-3</c:v>
                </c:pt>
                <c:pt idx="63">
                  <c:v>1.8066797523789968E-3</c:v>
                </c:pt>
                <c:pt idx="64">
                  <c:v>1.9342446437239007E-3</c:v>
                </c:pt>
                <c:pt idx="65">
                  <c:v>1.964709508070405E-3</c:v>
                </c:pt>
                <c:pt idx="66">
                  <c:v>2.4013366804711898E-3</c:v>
                </c:pt>
                <c:pt idx="67">
                  <c:v>2.6986113196686172E-3</c:v>
                </c:pt>
                <c:pt idx="68">
                  <c:v>2.717988265189362E-3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2C-4A80-A1EC-40A671604CA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18">
                  <c:v>-5.8715500003017951E-2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2C-4A80-A1EC-40A67160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598632"/>
        <c:axId val="1"/>
      </c:scatterChart>
      <c:valAx>
        <c:axId val="5345986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59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CVn - O-C Diagr.</a:t>
            </a:r>
          </a:p>
        </c:rich>
      </c:tx>
      <c:layout>
        <c:manualLayout>
          <c:xMode val="edge"/>
          <c:yMode val="edge"/>
          <c:x val="0.3806451612903225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796774193548387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2-46D0-ADEB-658C8EAE407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12">
                  <c:v>-2.2664346324745566E-3</c:v>
                </c:pt>
                <c:pt idx="13">
                  <c:v>9.3504391334136017E-3</c:v>
                </c:pt>
                <c:pt idx="14">
                  <c:v>1.6685554728610441E-3</c:v>
                </c:pt>
                <c:pt idx="34">
                  <c:v>-1.9700817210832611E-4</c:v>
                </c:pt>
                <c:pt idx="35">
                  <c:v>6.3170402208925225E-3</c:v>
                </c:pt>
                <c:pt idx="36">
                  <c:v>5.7582432273193263E-3</c:v>
                </c:pt>
                <c:pt idx="37">
                  <c:v>-1.7424769830540754E-3</c:v>
                </c:pt>
                <c:pt idx="38">
                  <c:v>-4.2674837459344417E-5</c:v>
                </c:pt>
                <c:pt idx="39">
                  <c:v>3.1454217241844162E-3</c:v>
                </c:pt>
                <c:pt idx="40">
                  <c:v>2.6972855994245037E-3</c:v>
                </c:pt>
                <c:pt idx="41">
                  <c:v>2.0139615153311752E-3</c:v>
                </c:pt>
                <c:pt idx="42">
                  <c:v>4.8492761343368329E-3</c:v>
                </c:pt>
                <c:pt idx="49">
                  <c:v>4.6214227040763944E-5</c:v>
                </c:pt>
                <c:pt idx="51">
                  <c:v>-8.3691201871261001E-4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2-46D0-ADEB-658C8EAE407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45">
                  <c:v>2.2322443110169843E-3</c:v>
                </c:pt>
                <c:pt idx="53">
                  <c:v>-2.5891416589729488E-4</c:v>
                </c:pt>
                <c:pt idx="54">
                  <c:v>1.2579596004798077E-3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2-46D0-ADEB-658C8EAE407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0">
                  <c:v>-1.0995877666573506E-2</c:v>
                </c:pt>
                <c:pt idx="1">
                  <c:v>-6.5094193851109594E-3</c:v>
                </c:pt>
                <c:pt idx="2">
                  <c:v>-2.1005621601943858E-3</c:v>
                </c:pt>
                <c:pt idx="3">
                  <c:v>-8.434034461970441E-4</c:v>
                </c:pt>
                <c:pt idx="4">
                  <c:v>4.7347031795652583E-4</c:v>
                </c:pt>
                <c:pt idx="5">
                  <c:v>-3.7218064971966669E-4</c:v>
                </c:pt>
                <c:pt idx="6">
                  <c:v>-1.4553068831446581E-3</c:v>
                </c:pt>
                <c:pt idx="7">
                  <c:v>7.6156687282491475E-4</c:v>
                </c:pt>
                <c:pt idx="8">
                  <c:v>-8.7931162124732509E-4</c:v>
                </c:pt>
                <c:pt idx="9">
                  <c:v>-1.4262051699915901E-3</c:v>
                </c:pt>
                <c:pt idx="10">
                  <c:v>-1.809331399272196E-3</c:v>
                </c:pt>
                <c:pt idx="11">
                  <c:v>-6.9245764461811632E-4</c:v>
                </c:pt>
                <c:pt idx="16">
                  <c:v>2.503332041669637E-3</c:v>
                </c:pt>
                <c:pt idx="17">
                  <c:v>-1.1785516107920557E-3</c:v>
                </c:pt>
                <c:pt idx="19">
                  <c:v>-1.2311357058933936E-3</c:v>
                </c:pt>
                <c:pt idx="20">
                  <c:v>6.2681440904270858E-3</c:v>
                </c:pt>
                <c:pt idx="21">
                  <c:v>2.885017849621363E-3</c:v>
                </c:pt>
                <c:pt idx="22">
                  <c:v>3.7093470964464359E-3</c:v>
                </c:pt>
                <c:pt idx="23">
                  <c:v>4.5143174138502218E-3</c:v>
                </c:pt>
                <c:pt idx="24">
                  <c:v>-2.270834447699599E-4</c:v>
                </c:pt>
                <c:pt idx="25">
                  <c:v>1.588872262800578E-3</c:v>
                </c:pt>
                <c:pt idx="26">
                  <c:v>3.5238623677287251E-3</c:v>
                </c:pt>
                <c:pt idx="27">
                  <c:v>2.8419787049642764E-3</c:v>
                </c:pt>
                <c:pt idx="28">
                  <c:v>8.2831817271653563E-3</c:v>
                </c:pt>
                <c:pt idx="29">
                  <c:v>9.0005548554472625E-4</c:v>
                </c:pt>
                <c:pt idx="30">
                  <c:v>-5.2872172091156244E-4</c:v>
                </c:pt>
                <c:pt idx="31">
                  <c:v>2.7893946244148538E-3</c:v>
                </c:pt>
                <c:pt idx="32">
                  <c:v>2.6648675266187638E-3</c:v>
                </c:pt>
                <c:pt idx="33">
                  <c:v>4.3522438645595685E-3</c:v>
                </c:pt>
                <c:pt idx="43">
                  <c:v>2.1771352767245844E-3</c:v>
                </c:pt>
                <c:pt idx="44">
                  <c:v>2.5940090345102362E-3</c:v>
                </c:pt>
                <c:pt idx="46">
                  <c:v>4.708801738161128E-3</c:v>
                </c:pt>
                <c:pt idx="47">
                  <c:v>4.9954991118283942E-4</c:v>
                </c:pt>
                <c:pt idx="48">
                  <c:v>-1.6731180221540853E-4</c:v>
                </c:pt>
                <c:pt idx="50">
                  <c:v>1.9462142226984724E-3</c:v>
                </c:pt>
                <c:pt idx="52">
                  <c:v>-8.4226102917455137E-3</c:v>
                </c:pt>
                <c:pt idx="55">
                  <c:v>-4.0797815017867833E-5</c:v>
                </c:pt>
                <c:pt idx="56">
                  <c:v>-8.2392404874553904E-4</c:v>
                </c:pt>
                <c:pt idx="57">
                  <c:v>-4.7208566684275866E-5</c:v>
                </c:pt>
                <c:pt idx="58">
                  <c:v>-1.4303347998065874E-3</c:v>
                </c:pt>
                <c:pt idx="59">
                  <c:v>1.2699028375209309E-3</c:v>
                </c:pt>
                <c:pt idx="60">
                  <c:v>1.2146992958150804E-4</c:v>
                </c:pt>
                <c:pt idx="61">
                  <c:v>1.3383436962612905E-3</c:v>
                </c:pt>
                <c:pt idx="62">
                  <c:v>-1.4731363044120371E-3</c:v>
                </c:pt>
                <c:pt idx="63">
                  <c:v>2.4437374595436268E-3</c:v>
                </c:pt>
                <c:pt idx="64">
                  <c:v>3.3455681841587648E-4</c:v>
                </c:pt>
                <c:pt idx="65">
                  <c:v>-1.1489307507872581E-4</c:v>
                </c:pt>
                <c:pt idx="66">
                  <c:v>2.0650759834097698E-3</c:v>
                </c:pt>
                <c:pt idx="67">
                  <c:v>-1.241128527908586E-3</c:v>
                </c:pt>
                <c:pt idx="68">
                  <c:v>1.4373426463862415E-2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2-46D0-ADEB-658C8EAE407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2-46D0-ADEB-658C8EAE407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2-46D0-ADEB-658C8EAE407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2-46D0-ADEB-658C8EAE407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0">
                  <c:v>-5.6029022973371661E-6</c:v>
                </c:pt>
                <c:pt idx="1">
                  <c:v>1.2536071704026888E-5</c:v>
                </c:pt>
                <c:pt idx="2">
                  <c:v>5.5196870506209693E-4</c:v>
                </c:pt>
                <c:pt idx="3">
                  <c:v>5.6682436329466796E-4</c:v>
                </c:pt>
                <c:pt idx="4">
                  <c:v>5.6687818814333667E-4</c:v>
                </c:pt>
                <c:pt idx="5">
                  <c:v>5.6800850996538009E-4</c:v>
                </c:pt>
                <c:pt idx="6">
                  <c:v>5.6806233481404892E-4</c:v>
                </c:pt>
                <c:pt idx="7">
                  <c:v>5.6811615966271764E-4</c:v>
                </c:pt>
                <c:pt idx="8">
                  <c:v>5.7915025363980844E-4</c:v>
                </c:pt>
                <c:pt idx="9">
                  <c:v>5.7995762636983954E-4</c:v>
                </c:pt>
                <c:pt idx="10">
                  <c:v>5.8001145121850826E-4</c:v>
                </c:pt>
                <c:pt idx="11">
                  <c:v>5.8006527606717698E-4</c:v>
                </c:pt>
                <c:pt idx="12">
                  <c:v>6.1715059679993598E-4</c:v>
                </c:pt>
                <c:pt idx="13">
                  <c:v>6.172044216486047E-4</c:v>
                </c:pt>
                <c:pt idx="14">
                  <c:v>6.1758119558928584E-4</c:v>
                </c:pt>
                <c:pt idx="15">
                  <c:v>6.9072916493009774E-4</c:v>
                </c:pt>
                <c:pt idx="16">
                  <c:v>7.0892196378013041E-4</c:v>
                </c:pt>
                <c:pt idx="17">
                  <c:v>7.0929873772081155E-4</c:v>
                </c:pt>
                <c:pt idx="18">
                  <c:v>7.1295882743028561E-4</c:v>
                </c:pt>
                <c:pt idx="19">
                  <c:v>7.1295882743028561E-4</c:v>
                </c:pt>
                <c:pt idx="20">
                  <c:v>7.1710334077777825E-4</c:v>
                </c:pt>
                <c:pt idx="21">
                  <c:v>7.1715716562644697E-4</c:v>
                </c:pt>
                <c:pt idx="22">
                  <c:v>7.1914868502719021E-4</c:v>
                </c:pt>
                <c:pt idx="23">
                  <c:v>7.2044048139523989E-4</c:v>
                </c:pt>
                <c:pt idx="24">
                  <c:v>7.2700711293282563E-4</c:v>
                </c:pt>
                <c:pt idx="25">
                  <c:v>7.398174269159848E-4</c:v>
                </c:pt>
                <c:pt idx="26">
                  <c:v>7.4024802570533466E-4</c:v>
                </c:pt>
                <c:pt idx="27">
                  <c:v>7.406247996460158E-4</c:v>
                </c:pt>
                <c:pt idx="28">
                  <c:v>7.4267014389542776E-4</c:v>
                </c:pt>
                <c:pt idx="29">
                  <c:v>7.4272396874409648E-4</c:v>
                </c:pt>
                <c:pt idx="30">
                  <c:v>7.4390811541480873E-4</c:v>
                </c:pt>
                <c:pt idx="31">
                  <c:v>7.4428488935548986E-4</c:v>
                </c:pt>
                <c:pt idx="32">
                  <c:v>7.5090534574174432E-4</c:v>
                </c:pt>
                <c:pt idx="33">
                  <c:v>7.5628783060861793E-4</c:v>
                </c:pt>
                <c:pt idx="34">
                  <c:v>7.7814071916812466E-4</c:v>
                </c:pt>
                <c:pt idx="35">
                  <c:v>8.4676740122076278E-4</c:v>
                </c:pt>
                <c:pt idx="36">
                  <c:v>8.4881274547017474E-4</c:v>
                </c:pt>
                <c:pt idx="37">
                  <c:v>8.5295725881766738E-4</c:v>
                </c:pt>
                <c:pt idx="38">
                  <c:v>8.6156923460466509E-4</c:v>
                </c:pt>
                <c:pt idx="39">
                  <c:v>8.6280720612404605E-4</c:v>
                </c:pt>
                <c:pt idx="40">
                  <c:v>8.6329162976206473E-4</c:v>
                </c:pt>
                <c:pt idx="41">
                  <c:v>8.7195743039773115E-4</c:v>
                </c:pt>
                <c:pt idx="42">
                  <c:v>8.8546746741358377E-4</c:v>
                </c:pt>
                <c:pt idx="43">
                  <c:v>8.9703980987736198E-4</c:v>
                </c:pt>
                <c:pt idx="44">
                  <c:v>8.970936347260307E-4</c:v>
                </c:pt>
                <c:pt idx="45">
                  <c:v>1.0283186157804087E-3</c:v>
                </c:pt>
                <c:pt idx="46">
                  <c:v>1.1781669944741691E-3</c:v>
                </c:pt>
                <c:pt idx="47">
                  <c:v>1.3360352756195712E-3</c:v>
                </c:pt>
                <c:pt idx="48">
                  <c:v>1.4442770462923986E-3</c:v>
                </c:pt>
                <c:pt idx="49">
                  <c:v>1.5084362659055317E-3</c:v>
                </c:pt>
                <c:pt idx="50">
                  <c:v>1.5084362659055317E-3</c:v>
                </c:pt>
                <c:pt idx="51">
                  <c:v>1.5084900907542005E-3</c:v>
                </c:pt>
                <c:pt idx="52">
                  <c:v>1.6204996008338398E-3</c:v>
                </c:pt>
                <c:pt idx="53">
                  <c:v>1.6500494427529756E-3</c:v>
                </c:pt>
                <c:pt idx="54">
                  <c:v>1.6501032676016444E-3</c:v>
                </c:pt>
                <c:pt idx="55">
                  <c:v>1.6504262166936569E-3</c:v>
                </c:pt>
                <c:pt idx="56">
                  <c:v>1.6504800415423255E-3</c:v>
                </c:pt>
                <c:pt idx="57">
                  <c:v>1.6574234470205923E-3</c:v>
                </c:pt>
                <c:pt idx="58">
                  <c:v>1.6574772718692611E-3</c:v>
                </c:pt>
                <c:pt idx="59">
                  <c:v>1.7831582935107593E-3</c:v>
                </c:pt>
                <c:pt idx="60">
                  <c:v>1.7965606808292745E-3</c:v>
                </c:pt>
                <c:pt idx="61">
                  <c:v>1.7966145056779433E-3</c:v>
                </c:pt>
                <c:pt idx="62">
                  <c:v>1.806625927530328E-3</c:v>
                </c:pt>
                <c:pt idx="63">
                  <c:v>1.8066797523789968E-3</c:v>
                </c:pt>
                <c:pt idx="64">
                  <c:v>1.9342446437239007E-3</c:v>
                </c:pt>
                <c:pt idx="65">
                  <c:v>1.964709508070405E-3</c:v>
                </c:pt>
                <c:pt idx="66">
                  <c:v>2.4013366804711898E-3</c:v>
                </c:pt>
                <c:pt idx="67">
                  <c:v>2.6986113196686172E-3</c:v>
                </c:pt>
                <c:pt idx="68">
                  <c:v>2.717988265189362E-3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2-46D0-ADEB-658C8EAE407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18">
                  <c:v>-5.8715500003017951E-2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92-46D0-ADEB-658C8EAE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60912"/>
        <c:axId val="1"/>
      </c:scatterChart>
      <c:valAx>
        <c:axId val="5317609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93548387097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76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CVn - O-C Diagr.</a:t>
            </a:r>
          </a:p>
        </c:rich>
      </c:tx>
      <c:layout>
        <c:manualLayout>
          <c:xMode val="edge"/>
          <c:yMode val="edge"/>
          <c:x val="0.329564151815433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B-4C60-994B-F0555FB40D0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12">
                  <c:v>1.1914499998965766E-2</c:v>
                </c:pt>
                <c:pt idx="13">
                  <c:v>2.3520999995525926E-2</c:v>
                </c:pt>
                <c:pt idx="14">
                  <c:v>1.5766499993333127E-2</c:v>
                </c:pt>
                <c:pt idx="34">
                  <c:v>-1.7044000000169035E-2</c:v>
                </c:pt>
                <c:pt idx="35">
                  <c:v>-2.3756499998853542E-2</c:v>
                </c:pt>
                <c:pt idx="36">
                  <c:v>-2.4709500001335982E-2</c:v>
                </c:pt>
                <c:pt idx="37">
                  <c:v>-3.300899999885587E-2</c:v>
                </c:pt>
                <c:pt idx="38">
                  <c:v>-3.2969000007142313E-2</c:v>
                </c:pt>
                <c:pt idx="39">
                  <c:v>-3.0019500001799315E-2</c:v>
                </c:pt>
                <c:pt idx="40">
                  <c:v>-3.0560999999579508E-2</c:v>
                </c:pt>
                <c:pt idx="41">
                  <c:v>-3.2914499999606051E-2</c:v>
                </c:pt>
                <c:pt idx="42">
                  <c:v>-3.2682999997632578E-2</c:v>
                </c:pt>
                <c:pt idx="49">
                  <c:v>-0.15755199999694014</c:v>
                </c:pt>
                <c:pt idx="51">
                  <c:v>-0.15844550000474555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B-4C60-994B-F0555FB40D0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45">
                  <c:v>-6.2832000003254507E-2</c:v>
                </c:pt>
                <c:pt idx="53">
                  <c:v>-0.18515050000860356</c:v>
                </c:pt>
                <c:pt idx="54">
                  <c:v>-0.1836440000042785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B-4C60-994B-F0555FB40D0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0">
                  <c:v>0.12320949999411823</c:v>
                </c:pt>
                <c:pt idx="1">
                  <c:v>0.12419999999110587</c:v>
                </c:pt>
                <c:pt idx="2">
                  <c:v>2.4642999997013249E-2</c:v>
                </c:pt>
                <c:pt idx="3">
                  <c:v>2.3036999999021646E-2</c:v>
                </c:pt>
                <c:pt idx="4">
                  <c:v>2.4343499993847217E-2</c:v>
                </c:pt>
                <c:pt idx="5">
                  <c:v>2.3280000001250301E-2</c:v>
                </c:pt>
                <c:pt idx="6">
                  <c:v>2.2186499998497311E-2</c:v>
                </c:pt>
                <c:pt idx="7">
                  <c:v>2.4392999999690801E-2</c:v>
                </c:pt>
                <c:pt idx="8">
                  <c:v>2.0625500001187902E-2</c:v>
                </c:pt>
                <c:pt idx="9">
                  <c:v>1.9922999992559198E-2</c:v>
                </c:pt>
                <c:pt idx="10">
                  <c:v>1.9529500001226552E-2</c:v>
                </c:pt>
                <c:pt idx="11">
                  <c:v>2.0635999993828591E-2</c:v>
                </c:pt>
                <c:pt idx="16">
                  <c:v>-1.0029999975813553E-3</c:v>
                </c:pt>
                <c:pt idx="17">
                  <c:v>-4.757499998959247E-3</c:v>
                </c:pt>
                <c:pt idx="19">
                  <c:v>-5.5155000081867911E-3</c:v>
                </c:pt>
                <c:pt idx="20">
                  <c:v>1.1850000009872019E-3</c:v>
                </c:pt>
                <c:pt idx="21">
                  <c:v>-2.2085000018705614E-3</c:v>
                </c:pt>
                <c:pt idx="22">
                  <c:v>-1.768000001902692E-3</c:v>
                </c:pt>
                <c:pt idx="23">
                  <c:v>-1.2120000028517097E-3</c:v>
                </c:pt>
                <c:pt idx="24">
                  <c:v>-7.2190000064438209E-3</c:v>
                </c:pt>
                <c:pt idx="25">
                  <c:v>-7.8720000019529834E-3</c:v>
                </c:pt>
                <c:pt idx="26">
                  <c:v>-6.0200000007171184E-3</c:v>
                </c:pt>
                <c:pt idx="27">
                  <c:v>-6.7745000051218085E-3</c:v>
                </c:pt>
                <c:pt idx="28">
                  <c:v>-1.7274999991059303E-3</c:v>
                </c:pt>
                <c:pt idx="29">
                  <c:v>-9.1209999955026433E-3</c:v>
                </c:pt>
                <c:pt idx="30">
                  <c:v>-1.0778000003483612E-2</c:v>
                </c:pt>
                <c:pt idx="31">
                  <c:v>-7.5324999997974373E-3</c:v>
                </c:pt>
                <c:pt idx="32">
                  <c:v>-8.9329999973415397E-3</c:v>
                </c:pt>
                <c:pt idx="33">
                  <c:v>-8.2830000028479844E-3</c:v>
                </c:pt>
                <c:pt idx="43">
                  <c:v>-3.7585500002023764E-2</c:v>
                </c:pt>
                <c:pt idx="44">
                  <c:v>-3.7178999999014195E-2</c:v>
                </c:pt>
                <c:pt idx="46">
                  <c:v>-8.9235999999800697E-2</c:v>
                </c:pt>
                <c:pt idx="47">
                  <c:v>-0.12387150000722613</c:v>
                </c:pt>
                <c:pt idx="48">
                  <c:v>-0.14540000000124564</c:v>
                </c:pt>
                <c:pt idx="50">
                  <c:v>-0.15565200000128243</c:v>
                </c:pt>
                <c:pt idx="52">
                  <c:v>-0.18761900000390597</c:v>
                </c:pt>
                <c:pt idx="55">
                  <c:v>-0.18500499999936437</c:v>
                </c:pt>
                <c:pt idx="56">
                  <c:v>-0.18579850000242004</c:v>
                </c:pt>
                <c:pt idx="57">
                  <c:v>-0.18635999999969499</c:v>
                </c:pt>
                <c:pt idx="58">
                  <c:v>-0.1877535000021453</c:v>
                </c:pt>
                <c:pt idx="59">
                  <c:v>-0.20927600000140956</c:v>
                </c:pt>
                <c:pt idx="60">
                  <c:v>-0.21300750000227708</c:v>
                </c:pt>
                <c:pt idx="61">
                  <c:v>-0.2118010000049253</c:v>
                </c:pt>
                <c:pt idx="62">
                  <c:v>-0.21654200000193669</c:v>
                </c:pt>
                <c:pt idx="63">
                  <c:v>-0.21263550000730902</c:v>
                </c:pt>
                <c:pt idx="64">
                  <c:v>-0.23933050000050571</c:v>
                </c:pt>
                <c:pt idx="65">
                  <c:v>-0.24565150000125868</c:v>
                </c:pt>
                <c:pt idx="66">
                  <c:v>-0.32762350000120932</c:v>
                </c:pt>
                <c:pt idx="67">
                  <c:v>-0.3882240000020829</c:v>
                </c:pt>
                <c:pt idx="68">
                  <c:v>-0.37634399985108757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B-4C60-994B-F0555FB40D0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2B-4C60-994B-F0555FB40D0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2B-4C60-994B-F0555FB40D0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2'!$N$21:$N$969</c:f>
              <c:numCache>
                <c:formatCode>General</c:formatCode>
                <c:ptCount val="94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2B-4C60-994B-F0555FB40D0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0">
                  <c:v>0.1341997747592614</c:v>
                </c:pt>
                <c:pt idx="1">
                  <c:v>0.13072195545299603</c:v>
                </c:pt>
                <c:pt idx="2">
                  <c:v>2.7295530861329641E-2</c:v>
                </c:pt>
                <c:pt idx="3">
                  <c:v>2.4447227809314086E-2</c:v>
                </c:pt>
                <c:pt idx="4">
                  <c:v>2.4436907870719827E-2</c:v>
                </c:pt>
                <c:pt idx="5">
                  <c:v>2.4220189160240383E-2</c:v>
                </c:pt>
                <c:pt idx="6">
                  <c:v>2.4209869221646124E-2</c:v>
                </c:pt>
                <c:pt idx="7">
                  <c:v>2.4199549283051864E-2</c:v>
                </c:pt>
                <c:pt idx="8">
                  <c:v>2.2083961871228713E-2</c:v>
                </c:pt>
                <c:pt idx="9">
                  <c:v>2.1929162792314823E-2</c:v>
                </c:pt>
                <c:pt idx="10">
                  <c:v>2.1918842853720564E-2</c:v>
                </c:pt>
                <c:pt idx="11">
                  <c:v>2.1908522915126304E-2</c:v>
                </c:pt>
                <c:pt idx="12">
                  <c:v>1.4798085223681669E-2</c:v>
                </c:pt>
                <c:pt idx="13">
                  <c:v>1.4787765285087412E-2</c:v>
                </c:pt>
                <c:pt idx="14">
                  <c:v>1.4715525714927596E-2</c:v>
                </c:pt>
                <c:pt idx="15">
                  <c:v>6.9072916532925133E-4</c:v>
                </c:pt>
                <c:pt idx="16">
                  <c:v>-2.7974100795303812E-3</c:v>
                </c:pt>
                <c:pt idx="17">
                  <c:v>-2.8696496496901959E-3</c:v>
                </c:pt>
                <c:pt idx="18">
                  <c:v>-3.571405474099826E-3</c:v>
                </c:pt>
                <c:pt idx="19">
                  <c:v>-3.571405474099826E-3</c:v>
                </c:pt>
                <c:pt idx="20">
                  <c:v>-4.3660407458577894E-3</c:v>
                </c:pt>
                <c:pt idx="21">
                  <c:v>-4.376360684452049E-3</c:v>
                </c:pt>
                <c:pt idx="22">
                  <c:v>-4.7581984124396423E-3</c:v>
                </c:pt>
                <c:pt idx="23">
                  <c:v>-5.0058769387018648E-3</c:v>
                </c:pt>
                <c:pt idx="24">
                  <c:v>-6.2649094472014954E-3</c:v>
                </c:pt>
                <c:pt idx="25">
                  <c:v>-8.721054832635201E-3</c:v>
                </c:pt>
                <c:pt idx="26">
                  <c:v>-8.803614341389274E-3</c:v>
                </c:pt>
                <c:pt idx="27">
                  <c:v>-8.8758539115490892E-3</c:v>
                </c:pt>
                <c:pt idx="28">
                  <c:v>-9.268011578130942E-3</c:v>
                </c:pt>
                <c:pt idx="29">
                  <c:v>-9.2783315167252016E-3</c:v>
                </c:pt>
                <c:pt idx="30">
                  <c:v>-9.505370165798905E-3</c:v>
                </c:pt>
                <c:pt idx="31">
                  <c:v>-9.5776097359587201E-3</c:v>
                </c:pt>
                <c:pt idx="32">
                  <c:v>-1.0846962183052609E-2</c:v>
                </c:pt>
                <c:pt idx="33">
                  <c:v>-1.1878956042478536E-2</c:v>
                </c:pt>
                <c:pt idx="34">
                  <c:v>-1.6068851111747801E-2</c:v>
                </c:pt>
                <c:pt idx="35">
                  <c:v>-2.9226772819428367E-2</c:v>
                </c:pt>
                <c:pt idx="36">
                  <c:v>-2.9618930486010216E-2</c:v>
                </c:pt>
                <c:pt idx="37">
                  <c:v>-3.0413565757768182E-2</c:v>
                </c:pt>
                <c:pt idx="38">
                  <c:v>-3.2064755932849666E-2</c:v>
                </c:pt>
                <c:pt idx="39">
                  <c:v>-3.2302114520517629E-2</c:v>
                </c:pt>
                <c:pt idx="40">
                  <c:v>-3.2394993967865958E-2</c:v>
                </c:pt>
                <c:pt idx="41">
                  <c:v>-3.4056504081541705E-2</c:v>
                </c:pt>
                <c:pt idx="42">
                  <c:v>-3.6646808668700778E-2</c:v>
                </c:pt>
                <c:pt idx="43">
                  <c:v>-3.8865595466466521E-2</c:v>
                </c:pt>
                <c:pt idx="44">
                  <c:v>-3.8875915405060781E-2</c:v>
                </c:pt>
                <c:pt idx="45">
                  <c:v>-6.4035925697864871E-2</c:v>
                </c:pt>
                <c:pt idx="46">
                  <c:v>-9.2766634744282678E-2</c:v>
                </c:pt>
                <c:pt idx="47">
                  <c:v>-0.12303501464124511</c:v>
                </c:pt>
                <c:pt idx="48">
                  <c:v>-0.14378841115430049</c:v>
                </c:pt>
                <c:pt idx="49">
                  <c:v>-0.15608977795865756</c:v>
                </c:pt>
                <c:pt idx="50">
                  <c:v>-0.15608977795865756</c:v>
                </c:pt>
                <c:pt idx="51">
                  <c:v>-0.15610009789725179</c:v>
                </c:pt>
                <c:pt idx="52">
                  <c:v>-0.17757589011190533</c:v>
                </c:pt>
                <c:pt idx="53">
                  <c:v>-0.18324153640015367</c:v>
                </c:pt>
                <c:pt idx="54">
                  <c:v>-0.18325185633874794</c:v>
                </c:pt>
                <c:pt idx="55">
                  <c:v>-0.18331377597031348</c:v>
                </c:pt>
                <c:pt idx="56">
                  <c:v>-0.18332409590890775</c:v>
                </c:pt>
                <c:pt idx="57">
                  <c:v>-0.18465536798756718</c:v>
                </c:pt>
                <c:pt idx="58">
                  <c:v>-0.18466568792616145</c:v>
                </c:pt>
                <c:pt idx="59">
                  <c:v>-0.20876274454375685</c:v>
                </c:pt>
                <c:pt idx="60">
                  <c:v>-0.2113324092537274</c:v>
                </c:pt>
                <c:pt idx="61">
                  <c:v>-0.21134272919232167</c:v>
                </c:pt>
                <c:pt idx="62">
                  <c:v>-0.21326223777085387</c:v>
                </c:pt>
                <c:pt idx="63">
                  <c:v>-0.21327255770944814</c:v>
                </c:pt>
                <c:pt idx="64">
                  <c:v>-0.23773081217784262</c:v>
                </c:pt>
                <c:pt idx="65">
                  <c:v>-0.24357189742219335</c:v>
                </c:pt>
                <c:pt idx="66">
                  <c:v>-0.32728723929882453</c:v>
                </c:pt>
                <c:pt idx="67">
                  <c:v>-0.38428426015491846</c:v>
                </c:pt>
                <c:pt idx="68">
                  <c:v>-0.38799943804885179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2B-4C60-994B-F0555FB40D0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18">
                  <c:v>-5.8715500003017951E-2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2B-4C60-994B-F0555FB4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353312"/>
        <c:axId val="1"/>
      </c:scatterChart>
      <c:valAx>
        <c:axId val="5333533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35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CVn - O-C Diagr.</a:t>
            </a:r>
          </a:p>
        </c:rich>
      </c:tx>
      <c:layout>
        <c:manualLayout>
          <c:xMode val="edge"/>
          <c:yMode val="edge"/>
          <c:x val="0.33297706129929028"/>
          <c:y val="3.35366663504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3-4250-A6F4-E76C7795D3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12">
                  <c:v>1.1914499998965766E-2</c:v>
                </c:pt>
                <c:pt idx="13">
                  <c:v>2.3520999995525926E-2</c:v>
                </c:pt>
                <c:pt idx="14">
                  <c:v>1.5766499993333127E-2</c:v>
                </c:pt>
                <c:pt idx="34">
                  <c:v>-1.7044000000169035E-2</c:v>
                </c:pt>
                <c:pt idx="35">
                  <c:v>-2.3756499998853542E-2</c:v>
                </c:pt>
                <c:pt idx="36">
                  <c:v>-2.4709500001335982E-2</c:v>
                </c:pt>
                <c:pt idx="37">
                  <c:v>-3.300899999885587E-2</c:v>
                </c:pt>
                <c:pt idx="38">
                  <c:v>-3.2969000007142313E-2</c:v>
                </c:pt>
                <c:pt idx="39">
                  <c:v>-3.0019500001799315E-2</c:v>
                </c:pt>
                <c:pt idx="40">
                  <c:v>-3.0560999999579508E-2</c:v>
                </c:pt>
                <c:pt idx="41">
                  <c:v>-3.2914499999606051E-2</c:v>
                </c:pt>
                <c:pt idx="42">
                  <c:v>-3.2682999997632578E-2</c:v>
                </c:pt>
                <c:pt idx="49">
                  <c:v>-0.15755199999694014</c:v>
                </c:pt>
                <c:pt idx="51">
                  <c:v>-0.15844550000474555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3-4250-A6F4-E76C7795D3B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45">
                  <c:v>-6.2832000003254507E-2</c:v>
                </c:pt>
                <c:pt idx="53">
                  <c:v>-0.18515050000860356</c:v>
                </c:pt>
                <c:pt idx="54">
                  <c:v>-0.1836440000042785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3-4250-A6F4-E76C7795D3B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0">
                  <c:v>0.12320949999411823</c:v>
                </c:pt>
                <c:pt idx="1">
                  <c:v>0.12419999999110587</c:v>
                </c:pt>
                <c:pt idx="2">
                  <c:v>2.4642999997013249E-2</c:v>
                </c:pt>
                <c:pt idx="3">
                  <c:v>2.3036999999021646E-2</c:v>
                </c:pt>
                <c:pt idx="4">
                  <c:v>2.4343499993847217E-2</c:v>
                </c:pt>
                <c:pt idx="5">
                  <c:v>2.3280000001250301E-2</c:v>
                </c:pt>
                <c:pt idx="6">
                  <c:v>2.2186499998497311E-2</c:v>
                </c:pt>
                <c:pt idx="7">
                  <c:v>2.4392999999690801E-2</c:v>
                </c:pt>
                <c:pt idx="8">
                  <c:v>2.0625500001187902E-2</c:v>
                </c:pt>
                <c:pt idx="9">
                  <c:v>1.9922999992559198E-2</c:v>
                </c:pt>
                <c:pt idx="10">
                  <c:v>1.9529500001226552E-2</c:v>
                </c:pt>
                <c:pt idx="11">
                  <c:v>2.0635999993828591E-2</c:v>
                </c:pt>
                <c:pt idx="16">
                  <c:v>-1.0029999975813553E-3</c:v>
                </c:pt>
                <c:pt idx="17">
                  <c:v>-4.757499998959247E-3</c:v>
                </c:pt>
                <c:pt idx="19">
                  <c:v>-5.5155000081867911E-3</c:v>
                </c:pt>
                <c:pt idx="20">
                  <c:v>1.1850000009872019E-3</c:v>
                </c:pt>
                <c:pt idx="21">
                  <c:v>-2.2085000018705614E-3</c:v>
                </c:pt>
                <c:pt idx="22">
                  <c:v>-1.768000001902692E-3</c:v>
                </c:pt>
                <c:pt idx="23">
                  <c:v>-1.2120000028517097E-3</c:v>
                </c:pt>
                <c:pt idx="24">
                  <c:v>-7.2190000064438209E-3</c:v>
                </c:pt>
                <c:pt idx="25">
                  <c:v>-7.8720000019529834E-3</c:v>
                </c:pt>
                <c:pt idx="26">
                  <c:v>-6.0200000007171184E-3</c:v>
                </c:pt>
                <c:pt idx="27">
                  <c:v>-6.7745000051218085E-3</c:v>
                </c:pt>
                <c:pt idx="28">
                  <c:v>-1.7274999991059303E-3</c:v>
                </c:pt>
                <c:pt idx="29">
                  <c:v>-9.1209999955026433E-3</c:v>
                </c:pt>
                <c:pt idx="30">
                  <c:v>-1.0778000003483612E-2</c:v>
                </c:pt>
                <c:pt idx="31">
                  <c:v>-7.5324999997974373E-3</c:v>
                </c:pt>
                <c:pt idx="32">
                  <c:v>-8.9329999973415397E-3</c:v>
                </c:pt>
                <c:pt idx="33">
                  <c:v>-8.2830000028479844E-3</c:v>
                </c:pt>
                <c:pt idx="43">
                  <c:v>-3.7585500002023764E-2</c:v>
                </c:pt>
                <c:pt idx="44">
                  <c:v>-3.7178999999014195E-2</c:v>
                </c:pt>
                <c:pt idx="46">
                  <c:v>-8.9235999999800697E-2</c:v>
                </c:pt>
                <c:pt idx="47">
                  <c:v>-0.12387150000722613</c:v>
                </c:pt>
                <c:pt idx="48">
                  <c:v>-0.14540000000124564</c:v>
                </c:pt>
                <c:pt idx="50">
                  <c:v>-0.15565200000128243</c:v>
                </c:pt>
                <c:pt idx="52">
                  <c:v>-0.18761900000390597</c:v>
                </c:pt>
                <c:pt idx="55">
                  <c:v>-0.18500499999936437</c:v>
                </c:pt>
                <c:pt idx="56">
                  <c:v>-0.18579850000242004</c:v>
                </c:pt>
                <c:pt idx="57">
                  <c:v>-0.18635999999969499</c:v>
                </c:pt>
                <c:pt idx="58">
                  <c:v>-0.1877535000021453</c:v>
                </c:pt>
                <c:pt idx="59">
                  <c:v>-0.20927600000140956</c:v>
                </c:pt>
                <c:pt idx="60">
                  <c:v>-0.21300750000227708</c:v>
                </c:pt>
                <c:pt idx="61">
                  <c:v>-0.2118010000049253</c:v>
                </c:pt>
                <c:pt idx="62">
                  <c:v>-0.21654200000193669</c:v>
                </c:pt>
                <c:pt idx="63">
                  <c:v>-0.21263550000730902</c:v>
                </c:pt>
                <c:pt idx="64">
                  <c:v>-0.23933050000050571</c:v>
                </c:pt>
                <c:pt idx="65">
                  <c:v>-0.24565150000125868</c:v>
                </c:pt>
                <c:pt idx="66">
                  <c:v>-0.32762350000120932</c:v>
                </c:pt>
                <c:pt idx="67">
                  <c:v>-0.3882240000020829</c:v>
                </c:pt>
                <c:pt idx="68">
                  <c:v>-0.37634399985108757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3-4250-A6F4-E76C7795D3B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3-4250-A6F4-E76C7795D3B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3-4250-A6F4-E76C7795D3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plus>
            <c:minus>
              <c:numRef>
                <c:f>'Active 2'!$D$21:$D$969</c:f>
                <c:numCache>
                  <c:formatCode>General</c:formatCode>
                  <c:ptCount val="949"/>
                  <c:pt idx="0">
                    <c:v>6.9999999999999999E-4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1.8E-3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8.0000000000000002E-3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6.0000000000000001E-3</c:v>
                  </c:pt>
                  <c:pt idx="16">
                    <c:v>4.0000000000000001E-3</c:v>
                  </c:pt>
                  <c:pt idx="17">
                    <c:v>4.0000000000000001E-3</c:v>
                  </c:pt>
                  <c:pt idx="18">
                    <c:v>4.0000000000000002E-4</c:v>
                  </c:pt>
                  <c:pt idx="19">
                    <c:v>1.6999999999999999E-3</c:v>
                  </c:pt>
                  <c:pt idx="20">
                    <c:v>5.0000000000000001E-3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3.0000000000000001E-3</c:v>
                  </c:pt>
                  <c:pt idx="36">
                    <c:v>4.0000000000000001E-3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2E-3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1.8E-3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1.1999999999999999E-3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2.8999999999999998E-3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2'!$N$21:$N$969</c:f>
              <c:numCache>
                <c:formatCode>General</c:formatCode>
                <c:ptCount val="94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3-4250-A6F4-E76C7795D3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-6468.5</c:v>
                </c:pt>
                <c:pt idx="1">
                  <c:v>-6300</c:v>
                </c:pt>
                <c:pt idx="2">
                  <c:v>-1289</c:v>
                </c:pt>
                <c:pt idx="3">
                  <c:v>-1151</c:v>
                </c:pt>
                <c:pt idx="4">
                  <c:v>-1150.5</c:v>
                </c:pt>
                <c:pt idx="5">
                  <c:v>-1140</c:v>
                </c:pt>
                <c:pt idx="6">
                  <c:v>-1139.5</c:v>
                </c:pt>
                <c:pt idx="7">
                  <c:v>-1139</c:v>
                </c:pt>
                <c:pt idx="8">
                  <c:v>-1036.5</c:v>
                </c:pt>
                <c:pt idx="9">
                  <c:v>-1029</c:v>
                </c:pt>
                <c:pt idx="10">
                  <c:v>-1028.5</c:v>
                </c:pt>
                <c:pt idx="11">
                  <c:v>-1028</c:v>
                </c:pt>
                <c:pt idx="12">
                  <c:v>-683.5</c:v>
                </c:pt>
                <c:pt idx="13">
                  <c:v>-683</c:v>
                </c:pt>
                <c:pt idx="14">
                  <c:v>-679.5</c:v>
                </c:pt>
                <c:pt idx="15">
                  <c:v>0</c:v>
                </c:pt>
                <c:pt idx="16">
                  <c:v>169</c:v>
                </c:pt>
                <c:pt idx="17">
                  <c:v>172.5</c:v>
                </c:pt>
                <c:pt idx="18">
                  <c:v>206.5</c:v>
                </c:pt>
                <c:pt idx="19">
                  <c:v>206.5</c:v>
                </c:pt>
                <c:pt idx="20">
                  <c:v>245</c:v>
                </c:pt>
                <c:pt idx="21">
                  <c:v>245.5</c:v>
                </c:pt>
                <c:pt idx="22">
                  <c:v>264</c:v>
                </c:pt>
                <c:pt idx="23">
                  <c:v>276</c:v>
                </c:pt>
                <c:pt idx="24">
                  <c:v>337</c:v>
                </c:pt>
                <c:pt idx="25">
                  <c:v>456</c:v>
                </c:pt>
                <c:pt idx="26">
                  <c:v>460</c:v>
                </c:pt>
                <c:pt idx="27">
                  <c:v>463.5</c:v>
                </c:pt>
                <c:pt idx="28">
                  <c:v>482.5</c:v>
                </c:pt>
                <c:pt idx="29">
                  <c:v>483</c:v>
                </c:pt>
                <c:pt idx="30">
                  <c:v>494</c:v>
                </c:pt>
                <c:pt idx="31">
                  <c:v>497.5</c:v>
                </c:pt>
                <c:pt idx="32">
                  <c:v>559</c:v>
                </c:pt>
                <c:pt idx="33">
                  <c:v>609</c:v>
                </c:pt>
                <c:pt idx="34">
                  <c:v>812</c:v>
                </c:pt>
                <c:pt idx="35">
                  <c:v>1449.5</c:v>
                </c:pt>
                <c:pt idx="36">
                  <c:v>1468.5</c:v>
                </c:pt>
                <c:pt idx="37">
                  <c:v>1507</c:v>
                </c:pt>
                <c:pt idx="38">
                  <c:v>1587</c:v>
                </c:pt>
                <c:pt idx="39">
                  <c:v>1598.5</c:v>
                </c:pt>
                <c:pt idx="40">
                  <c:v>1603</c:v>
                </c:pt>
                <c:pt idx="41">
                  <c:v>1683.5</c:v>
                </c:pt>
                <c:pt idx="42">
                  <c:v>1809</c:v>
                </c:pt>
                <c:pt idx="43">
                  <c:v>1916.5</c:v>
                </c:pt>
                <c:pt idx="44">
                  <c:v>1917</c:v>
                </c:pt>
                <c:pt idx="45">
                  <c:v>3136</c:v>
                </c:pt>
                <c:pt idx="46">
                  <c:v>4528</c:v>
                </c:pt>
                <c:pt idx="47">
                  <c:v>5994.5</c:v>
                </c:pt>
                <c:pt idx="48">
                  <c:v>7000</c:v>
                </c:pt>
                <c:pt idx="49">
                  <c:v>7596</c:v>
                </c:pt>
                <c:pt idx="50">
                  <c:v>7596</c:v>
                </c:pt>
                <c:pt idx="51">
                  <c:v>7596.5</c:v>
                </c:pt>
                <c:pt idx="52">
                  <c:v>8637</c:v>
                </c:pt>
                <c:pt idx="53">
                  <c:v>8911.5</c:v>
                </c:pt>
                <c:pt idx="54">
                  <c:v>8912</c:v>
                </c:pt>
                <c:pt idx="55">
                  <c:v>8915</c:v>
                </c:pt>
                <c:pt idx="56">
                  <c:v>8915.5</c:v>
                </c:pt>
                <c:pt idx="57">
                  <c:v>8980</c:v>
                </c:pt>
                <c:pt idx="58">
                  <c:v>8980.5</c:v>
                </c:pt>
                <c:pt idx="59">
                  <c:v>10148</c:v>
                </c:pt>
                <c:pt idx="60">
                  <c:v>10272.5</c:v>
                </c:pt>
                <c:pt idx="61">
                  <c:v>10273</c:v>
                </c:pt>
                <c:pt idx="62">
                  <c:v>10366</c:v>
                </c:pt>
                <c:pt idx="63">
                  <c:v>10366.5</c:v>
                </c:pt>
                <c:pt idx="64">
                  <c:v>11551.5</c:v>
                </c:pt>
                <c:pt idx="65">
                  <c:v>11834.5</c:v>
                </c:pt>
                <c:pt idx="66">
                  <c:v>15890.5</c:v>
                </c:pt>
                <c:pt idx="67">
                  <c:v>18652</c:v>
                </c:pt>
                <c:pt idx="68">
                  <c:v>18832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0">
                  <c:v>0.1341997747592614</c:v>
                </c:pt>
                <c:pt idx="1">
                  <c:v>0.13072195545299603</c:v>
                </c:pt>
                <c:pt idx="2">
                  <c:v>2.7295530861329641E-2</c:v>
                </c:pt>
                <c:pt idx="3">
                  <c:v>2.4447227809314086E-2</c:v>
                </c:pt>
                <c:pt idx="4">
                  <c:v>2.4436907870719827E-2</c:v>
                </c:pt>
                <c:pt idx="5">
                  <c:v>2.4220189160240383E-2</c:v>
                </c:pt>
                <c:pt idx="6">
                  <c:v>2.4209869221646124E-2</c:v>
                </c:pt>
                <c:pt idx="7">
                  <c:v>2.4199549283051864E-2</c:v>
                </c:pt>
                <c:pt idx="8">
                  <c:v>2.2083961871228713E-2</c:v>
                </c:pt>
                <c:pt idx="9">
                  <c:v>2.1929162792314823E-2</c:v>
                </c:pt>
                <c:pt idx="10">
                  <c:v>2.1918842853720564E-2</c:v>
                </c:pt>
                <c:pt idx="11">
                  <c:v>2.1908522915126304E-2</c:v>
                </c:pt>
                <c:pt idx="12">
                  <c:v>1.4798085223681669E-2</c:v>
                </c:pt>
                <c:pt idx="13">
                  <c:v>1.4787765285087412E-2</c:v>
                </c:pt>
                <c:pt idx="14">
                  <c:v>1.4715525714927596E-2</c:v>
                </c:pt>
                <c:pt idx="15">
                  <c:v>6.9072916532925133E-4</c:v>
                </c:pt>
                <c:pt idx="16">
                  <c:v>-2.7974100795303812E-3</c:v>
                </c:pt>
                <c:pt idx="17">
                  <c:v>-2.8696496496901959E-3</c:v>
                </c:pt>
                <c:pt idx="18">
                  <c:v>-3.571405474099826E-3</c:v>
                </c:pt>
                <c:pt idx="19">
                  <c:v>-3.571405474099826E-3</c:v>
                </c:pt>
                <c:pt idx="20">
                  <c:v>-4.3660407458577894E-3</c:v>
                </c:pt>
                <c:pt idx="21">
                  <c:v>-4.376360684452049E-3</c:v>
                </c:pt>
                <c:pt idx="22">
                  <c:v>-4.7581984124396423E-3</c:v>
                </c:pt>
                <c:pt idx="23">
                  <c:v>-5.0058769387018648E-3</c:v>
                </c:pt>
                <c:pt idx="24">
                  <c:v>-6.2649094472014954E-3</c:v>
                </c:pt>
                <c:pt idx="25">
                  <c:v>-8.721054832635201E-3</c:v>
                </c:pt>
                <c:pt idx="26">
                  <c:v>-8.803614341389274E-3</c:v>
                </c:pt>
                <c:pt idx="27">
                  <c:v>-8.8758539115490892E-3</c:v>
                </c:pt>
                <c:pt idx="28">
                  <c:v>-9.268011578130942E-3</c:v>
                </c:pt>
                <c:pt idx="29">
                  <c:v>-9.2783315167252016E-3</c:v>
                </c:pt>
                <c:pt idx="30">
                  <c:v>-9.505370165798905E-3</c:v>
                </c:pt>
                <c:pt idx="31">
                  <c:v>-9.5776097359587201E-3</c:v>
                </c:pt>
                <c:pt idx="32">
                  <c:v>-1.0846962183052609E-2</c:v>
                </c:pt>
                <c:pt idx="33">
                  <c:v>-1.1878956042478536E-2</c:v>
                </c:pt>
                <c:pt idx="34">
                  <c:v>-1.6068851111747801E-2</c:v>
                </c:pt>
                <c:pt idx="35">
                  <c:v>-2.9226772819428367E-2</c:v>
                </c:pt>
                <c:pt idx="36">
                  <c:v>-2.9618930486010216E-2</c:v>
                </c:pt>
                <c:pt idx="37">
                  <c:v>-3.0413565757768182E-2</c:v>
                </c:pt>
                <c:pt idx="38">
                  <c:v>-3.2064755932849666E-2</c:v>
                </c:pt>
                <c:pt idx="39">
                  <c:v>-3.2302114520517629E-2</c:v>
                </c:pt>
                <c:pt idx="40">
                  <c:v>-3.2394993967865958E-2</c:v>
                </c:pt>
                <c:pt idx="41">
                  <c:v>-3.4056504081541705E-2</c:v>
                </c:pt>
                <c:pt idx="42">
                  <c:v>-3.6646808668700778E-2</c:v>
                </c:pt>
                <c:pt idx="43">
                  <c:v>-3.8865595466466521E-2</c:v>
                </c:pt>
                <c:pt idx="44">
                  <c:v>-3.8875915405060781E-2</c:v>
                </c:pt>
                <c:pt idx="45">
                  <c:v>-6.4035925697864871E-2</c:v>
                </c:pt>
                <c:pt idx="46">
                  <c:v>-9.2766634744282678E-2</c:v>
                </c:pt>
                <c:pt idx="47">
                  <c:v>-0.12303501464124511</c:v>
                </c:pt>
                <c:pt idx="48">
                  <c:v>-0.14378841115430049</c:v>
                </c:pt>
                <c:pt idx="49">
                  <c:v>-0.15608977795865756</c:v>
                </c:pt>
                <c:pt idx="50">
                  <c:v>-0.15608977795865756</c:v>
                </c:pt>
                <c:pt idx="51">
                  <c:v>-0.15610009789725179</c:v>
                </c:pt>
                <c:pt idx="52">
                  <c:v>-0.17757589011190533</c:v>
                </c:pt>
                <c:pt idx="53">
                  <c:v>-0.18324153640015367</c:v>
                </c:pt>
                <c:pt idx="54">
                  <c:v>-0.18325185633874794</c:v>
                </c:pt>
                <c:pt idx="55">
                  <c:v>-0.18331377597031348</c:v>
                </c:pt>
                <c:pt idx="56">
                  <c:v>-0.18332409590890775</c:v>
                </c:pt>
                <c:pt idx="57">
                  <c:v>-0.18465536798756718</c:v>
                </c:pt>
                <c:pt idx="58">
                  <c:v>-0.18466568792616145</c:v>
                </c:pt>
                <c:pt idx="59">
                  <c:v>-0.20876274454375685</c:v>
                </c:pt>
                <c:pt idx="60">
                  <c:v>-0.2113324092537274</c:v>
                </c:pt>
                <c:pt idx="61">
                  <c:v>-0.21134272919232167</c:v>
                </c:pt>
                <c:pt idx="62">
                  <c:v>-0.21326223777085387</c:v>
                </c:pt>
                <c:pt idx="63">
                  <c:v>-0.21327255770944814</c:v>
                </c:pt>
                <c:pt idx="64">
                  <c:v>-0.23773081217784262</c:v>
                </c:pt>
                <c:pt idx="65">
                  <c:v>-0.24357189742219335</c:v>
                </c:pt>
                <c:pt idx="66">
                  <c:v>-0.32728723929882453</c:v>
                </c:pt>
                <c:pt idx="67">
                  <c:v>-0.38428426015491846</c:v>
                </c:pt>
                <c:pt idx="68">
                  <c:v>-0.38799943804885179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3-4250-A6F4-E76C7795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00056"/>
        <c:axId val="1"/>
      </c:scatterChart>
      <c:valAx>
        <c:axId val="532100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0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67741935483872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504826</xdr:colOff>
      <xdr:row>0</xdr:row>
      <xdr:rowOff>28575</xdr:rowOff>
    </xdr:from>
    <xdr:to>
      <xdr:col>27</xdr:col>
      <xdr:colOff>66676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214E50-66BE-8E67-C669-F10B5DDAB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0</xdr:row>
      <xdr:rowOff>0</xdr:rowOff>
    </xdr:from>
    <xdr:to>
      <xdr:col>17</xdr:col>
      <xdr:colOff>371474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6126F80-0ACA-5F95-A5BE-834C4A6F3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17</xdr:col>
      <xdr:colOff>485775</xdr:colOff>
      <xdr:row>18</xdr:row>
      <xdr:rowOff>114300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AAE4AD7-C8B2-51C2-DB9D-38CD72028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27</xdr:col>
      <xdr:colOff>209550</xdr:colOff>
      <xdr:row>18</xdr:row>
      <xdr:rowOff>85725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15D9D40-2489-5F11-6666-054214203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konkoly.hu/cgi-bin/IBVS?5965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875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www.konkoly.hu/cgi-bin/IBVS?5965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konkoly.hu/cgi-bin/IBVS?5965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65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33</v>
      </c>
      <c r="F2" s="78" t="s">
        <v>167</v>
      </c>
    </row>
    <row r="4" spans="1:6" ht="14.25" thickTop="1" thickBot="1" x14ac:dyDescent="0.25">
      <c r="A4" s="4" t="s">
        <v>1</v>
      </c>
      <c r="C4" s="7" t="s">
        <v>31</v>
      </c>
      <c r="D4" s="8" t="s">
        <v>31</v>
      </c>
    </row>
    <row r="5" spans="1:6" ht="13.5" thickTop="1" x14ac:dyDescent="0.2">
      <c r="A5" s="16" t="s">
        <v>39</v>
      </c>
      <c r="B5" s="17"/>
      <c r="C5" s="18">
        <v>-9.5</v>
      </c>
      <c r="D5" s="17" t="s">
        <v>40</v>
      </c>
    </row>
    <row r="6" spans="1:6" x14ac:dyDescent="0.2">
      <c r="A6" s="4" t="s">
        <v>2</v>
      </c>
    </row>
    <row r="7" spans="1:6" x14ac:dyDescent="0.2">
      <c r="A7" t="s">
        <v>3</v>
      </c>
      <c r="C7" s="79">
        <v>52991.654000000002</v>
      </c>
    </row>
    <row r="8" spans="1:6" x14ac:dyDescent="0.2">
      <c r="A8" t="s">
        <v>4</v>
      </c>
      <c r="C8" s="80">
        <v>0.26076625247311419</v>
      </c>
    </row>
    <row r="9" spans="1:6" x14ac:dyDescent="0.2">
      <c r="A9" s="31" t="s">
        <v>45</v>
      </c>
      <c r="B9" s="32">
        <v>21</v>
      </c>
      <c r="C9" s="30" t="str">
        <f>"F"&amp;B9</f>
        <v>F21</v>
      </c>
      <c r="D9" s="9" t="str">
        <f>"G"&amp;B9</f>
        <v>G21</v>
      </c>
    </row>
    <row r="10" spans="1:6" ht="13.5" thickBot="1" x14ac:dyDescent="0.25">
      <c r="A10" s="17"/>
      <c r="B10" s="17"/>
      <c r="C10" s="3" t="s">
        <v>20</v>
      </c>
      <c r="D10" s="3" t="s">
        <v>21</v>
      </c>
      <c r="E10" s="17"/>
    </row>
    <row r="11" spans="1:6" x14ac:dyDescent="0.2">
      <c r="A11" s="17" t="s">
        <v>16</v>
      </c>
      <c r="B11" s="17"/>
      <c r="C11" s="10">
        <f ca="1">INTERCEPT(INDIRECT($D$9):G992,INDIRECT($C$9):F992)</f>
        <v>6.9072916493009774E-4</v>
      </c>
      <c r="D11" s="15"/>
      <c r="E11" s="17"/>
    </row>
    <row r="12" spans="1:6" x14ac:dyDescent="0.2">
      <c r="A12" s="17" t="s">
        <v>17</v>
      </c>
      <c r="B12" s="17"/>
      <c r="C12" s="10">
        <f ca="1">SLOPE(INDIRECT($D$9):G992,INDIRECT($C$9):F992)</f>
        <v>1.0764969733747157E-7</v>
      </c>
      <c r="D12" s="15"/>
      <c r="E12" s="17"/>
    </row>
    <row r="13" spans="1:6" x14ac:dyDescent="0.2">
      <c r="A13" s="17" t="s">
        <v>19</v>
      </c>
      <c r="B13" s="17"/>
      <c r="C13" s="15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11">
        <f ca="1">(C7+C11)+(C8+C12)*INT(MAX(F21:F3533))</f>
        <v>57902.406784561957</v>
      </c>
      <c r="E15" s="20" t="s">
        <v>49</v>
      </c>
      <c r="F15" s="18">
        <v>1</v>
      </c>
    </row>
    <row r="16" spans="1:6" x14ac:dyDescent="0.2">
      <c r="A16" s="22" t="s">
        <v>5</v>
      </c>
      <c r="B16" s="17"/>
      <c r="C16" s="23">
        <f ca="1">+C8+C12</f>
        <v>0.26076636012281151</v>
      </c>
      <c r="E16" s="20" t="s">
        <v>41</v>
      </c>
      <c r="F16" s="21">
        <f ca="1">NOW()+15018.5+$C$5/24</f>
        <v>60339.74543333333</v>
      </c>
    </row>
    <row r="17" spans="1:21" ht="13.5" thickBot="1" x14ac:dyDescent="0.25">
      <c r="A17" s="20" t="s">
        <v>32</v>
      </c>
      <c r="B17" s="17"/>
      <c r="C17" s="17">
        <f>COUNT(C21:C2191)</f>
        <v>69</v>
      </c>
      <c r="E17" s="20" t="s">
        <v>50</v>
      </c>
      <c r="F17" s="21">
        <f ca="1">ROUND(2*(F16-$C$7)/$C$8,0)/2+F15</f>
        <v>28180</v>
      </c>
    </row>
    <row r="18" spans="1:21" ht="14.25" thickTop="1" thickBot="1" x14ac:dyDescent="0.25">
      <c r="A18" s="22" t="s">
        <v>6</v>
      </c>
      <c r="B18" s="17"/>
      <c r="C18" s="25">
        <f ca="1">+C15</f>
        <v>57902.406784561957</v>
      </c>
      <c r="D18" s="26">
        <f ca="1">+C16</f>
        <v>0.26076636012281151</v>
      </c>
      <c r="E18" s="20" t="s">
        <v>42</v>
      </c>
      <c r="F18" s="9">
        <f ca="1">ROUND(2*(F16-$C$15)/$C$16,0)/2+F15</f>
        <v>9348</v>
      </c>
    </row>
    <row r="19" spans="1:21" ht="13.5" thickTop="1" x14ac:dyDescent="0.2">
      <c r="E19" s="20" t="s">
        <v>43</v>
      </c>
      <c r="F19" s="24">
        <f ca="1">+$C$15+$C$16*F18-15018.5-$C$5/24</f>
        <v>45321.946552323338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64</v>
      </c>
      <c r="I20" s="6" t="s">
        <v>67</v>
      </c>
      <c r="J20" s="6" t="s">
        <v>61</v>
      </c>
      <c r="K20" s="6" t="s">
        <v>59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66" t="s">
        <v>164</v>
      </c>
    </row>
    <row r="21" spans="1:21" x14ac:dyDescent="0.2">
      <c r="A21" s="12" t="s">
        <v>35</v>
      </c>
      <c r="B21" s="13" t="s">
        <v>30</v>
      </c>
      <c r="C21" s="14">
        <v>51304.876499999998</v>
      </c>
      <c r="D21" s="14">
        <v>6.9999999999999999E-4</v>
      </c>
      <c r="E21">
        <f t="shared" ref="E21:E52" si="0">+(C21-C$7)/C$8</f>
        <v>-6468.5421675640937</v>
      </c>
      <c r="F21">
        <f t="shared" ref="F21:F84" si="1">ROUND(2*E21,0)/2</f>
        <v>-6468.5</v>
      </c>
      <c r="G21">
        <f t="shared" ref="G21:G38" si="2">+C21-(C$7+F21*C$8)</f>
        <v>-1.0995877666573506E-2</v>
      </c>
      <c r="K21">
        <f t="shared" ref="K21:K32" si="3">+G21</f>
        <v>-1.0995877666573506E-2</v>
      </c>
      <c r="O21">
        <f t="shared" ref="O21:O52" ca="1" si="4">+C$11+C$12*$F21</f>
        <v>-5.6029022973371661E-6</v>
      </c>
      <c r="Q21" s="2">
        <f t="shared" ref="Q21:Q52" si="5">+C21-15018.5</f>
        <v>36286.376499999998</v>
      </c>
      <c r="U21" s="9"/>
    </row>
    <row r="22" spans="1:21" x14ac:dyDescent="0.2">
      <c r="A22" s="12" t="s">
        <v>35</v>
      </c>
      <c r="B22" s="13" t="s">
        <v>29</v>
      </c>
      <c r="C22" s="14">
        <v>51348.820099999997</v>
      </c>
      <c r="D22" s="14">
        <v>1E-3</v>
      </c>
      <c r="E22">
        <f t="shared" si="0"/>
        <v>-6300.024962660329</v>
      </c>
      <c r="F22">
        <f t="shared" si="1"/>
        <v>-6300</v>
      </c>
      <c r="G22">
        <f t="shared" si="2"/>
        <v>-6.5094193851109594E-3</v>
      </c>
      <c r="K22">
        <f t="shared" si="3"/>
        <v>-6.5094193851109594E-3</v>
      </c>
      <c r="O22">
        <f t="shared" ca="1" si="4"/>
        <v>1.2536071704026888E-5</v>
      </c>
      <c r="Q22" s="2">
        <f t="shared" si="5"/>
        <v>36330.320099999997</v>
      </c>
      <c r="U22" s="9"/>
    </row>
    <row r="23" spans="1:21" x14ac:dyDescent="0.2">
      <c r="A23" s="12" t="s">
        <v>35</v>
      </c>
      <c r="B23" s="13" t="s">
        <v>29</v>
      </c>
      <c r="C23" s="14">
        <v>52655.5242</v>
      </c>
      <c r="D23" s="14">
        <v>1E-3</v>
      </c>
      <c r="E23">
        <f t="shared" si="0"/>
        <v>-1289.008055345116</v>
      </c>
      <c r="F23">
        <f t="shared" si="1"/>
        <v>-1289</v>
      </c>
      <c r="G23">
        <f t="shared" si="2"/>
        <v>-2.1005621601943858E-3</v>
      </c>
      <c r="K23">
        <f t="shared" si="3"/>
        <v>-2.1005621601943858E-3</v>
      </c>
      <c r="O23">
        <f t="shared" ca="1" si="4"/>
        <v>5.5196870506209693E-4</v>
      </c>
      <c r="Q23" s="2">
        <f t="shared" si="5"/>
        <v>37637.0242</v>
      </c>
    </row>
    <row r="24" spans="1:21" x14ac:dyDescent="0.2">
      <c r="A24" s="12" t="s">
        <v>35</v>
      </c>
      <c r="B24" s="13" t="s">
        <v>29</v>
      </c>
      <c r="C24" s="14">
        <v>52691.511200000001</v>
      </c>
      <c r="D24" s="14">
        <v>1.6000000000000001E-3</v>
      </c>
      <c r="E24">
        <f t="shared" si="0"/>
        <v>-1151.0032343274447</v>
      </c>
      <c r="F24">
        <f t="shared" si="1"/>
        <v>-1151</v>
      </c>
      <c r="G24">
        <f t="shared" si="2"/>
        <v>-8.434034461970441E-4</v>
      </c>
      <c r="K24">
        <f t="shared" si="3"/>
        <v>-8.434034461970441E-4</v>
      </c>
      <c r="O24">
        <f t="shared" ca="1" si="4"/>
        <v>5.6682436329466796E-4</v>
      </c>
      <c r="Q24" s="2">
        <f t="shared" si="5"/>
        <v>37673.011200000001</v>
      </c>
    </row>
    <row r="25" spans="1:21" x14ac:dyDescent="0.2">
      <c r="A25" s="12" t="s">
        <v>35</v>
      </c>
      <c r="B25" s="13" t="s">
        <v>30</v>
      </c>
      <c r="C25" s="14">
        <v>52691.642899999999</v>
      </c>
      <c r="D25" s="14">
        <v>1.8E-3</v>
      </c>
      <c r="E25">
        <f t="shared" si="0"/>
        <v>-1150.4981843113899</v>
      </c>
      <c r="F25">
        <f t="shared" si="1"/>
        <v>-1150.5</v>
      </c>
      <c r="G25">
        <f t="shared" si="2"/>
        <v>4.7347031795652583E-4</v>
      </c>
      <c r="K25">
        <f t="shared" si="3"/>
        <v>4.7347031795652583E-4</v>
      </c>
      <c r="O25">
        <f t="shared" ca="1" si="4"/>
        <v>5.6687818814333667E-4</v>
      </c>
      <c r="Q25" s="2">
        <f t="shared" si="5"/>
        <v>37673.142899999999</v>
      </c>
    </row>
    <row r="26" spans="1:21" x14ac:dyDescent="0.2">
      <c r="A26" s="12" t="s">
        <v>35</v>
      </c>
      <c r="B26" s="13" t="s">
        <v>29</v>
      </c>
      <c r="C26" s="14">
        <v>52694.380100000002</v>
      </c>
      <c r="D26" s="14">
        <v>6.9999999999999999E-4</v>
      </c>
      <c r="E26">
        <f t="shared" si="0"/>
        <v>-1140.0014272577316</v>
      </c>
      <c r="F26">
        <f t="shared" si="1"/>
        <v>-1140</v>
      </c>
      <c r="G26">
        <f t="shared" si="2"/>
        <v>-3.7218064971966669E-4</v>
      </c>
      <c r="K26">
        <f t="shared" si="3"/>
        <v>-3.7218064971966669E-4</v>
      </c>
      <c r="O26">
        <f t="shared" ca="1" si="4"/>
        <v>5.6800850996538009E-4</v>
      </c>
      <c r="Q26" s="2">
        <f t="shared" si="5"/>
        <v>37675.880100000002</v>
      </c>
    </row>
    <row r="27" spans="1:21" x14ac:dyDescent="0.2">
      <c r="A27" s="12" t="s">
        <v>35</v>
      </c>
      <c r="B27" s="13" t="s">
        <v>30</v>
      </c>
      <c r="C27" s="14">
        <v>52694.509400000003</v>
      </c>
      <c r="D27" s="14">
        <v>4.0000000000000002E-4</v>
      </c>
      <c r="E27">
        <f t="shared" si="0"/>
        <v>-1139.505580886607</v>
      </c>
      <c r="F27">
        <f t="shared" si="1"/>
        <v>-1139.5</v>
      </c>
      <c r="G27">
        <f t="shared" si="2"/>
        <v>-1.4553068831446581E-3</v>
      </c>
      <c r="K27">
        <f t="shared" si="3"/>
        <v>-1.4553068831446581E-3</v>
      </c>
      <c r="O27">
        <f t="shared" ca="1" si="4"/>
        <v>5.6806233481404892E-4</v>
      </c>
      <c r="Q27" s="2">
        <f t="shared" si="5"/>
        <v>37676.009400000003</v>
      </c>
    </row>
    <row r="28" spans="1:21" x14ac:dyDescent="0.2">
      <c r="A28" s="12" t="s">
        <v>35</v>
      </c>
      <c r="B28" s="13" t="s">
        <v>29</v>
      </c>
      <c r="C28" s="14">
        <v>52694.642</v>
      </c>
      <c r="D28" s="14">
        <v>8.0000000000000004E-4</v>
      </c>
      <c r="E28">
        <f t="shared" si="0"/>
        <v>-1138.9970795037034</v>
      </c>
      <c r="F28">
        <f t="shared" si="1"/>
        <v>-1139</v>
      </c>
      <c r="G28">
        <f t="shared" si="2"/>
        <v>7.6156687282491475E-4</v>
      </c>
      <c r="K28">
        <f t="shared" si="3"/>
        <v>7.6156687282491475E-4</v>
      </c>
      <c r="O28">
        <f t="shared" ca="1" si="4"/>
        <v>5.6811615966271764E-4</v>
      </c>
      <c r="Q28" s="2">
        <f t="shared" si="5"/>
        <v>37676.142</v>
      </c>
    </row>
    <row r="29" spans="1:21" x14ac:dyDescent="0.2">
      <c r="A29" s="12" t="s">
        <v>35</v>
      </c>
      <c r="B29" s="13" t="s">
        <v>30</v>
      </c>
      <c r="C29" s="14">
        <v>52721.368900000001</v>
      </c>
      <c r="D29" s="14">
        <v>5.0000000000000001E-4</v>
      </c>
      <c r="E29">
        <f t="shared" si="0"/>
        <v>-1036.5033720299684</v>
      </c>
      <c r="F29">
        <f t="shared" si="1"/>
        <v>-1036.5</v>
      </c>
      <c r="G29">
        <f t="shared" si="2"/>
        <v>-8.7931162124732509E-4</v>
      </c>
      <c r="K29">
        <f t="shared" si="3"/>
        <v>-8.7931162124732509E-4</v>
      </c>
      <c r="O29">
        <f t="shared" ca="1" si="4"/>
        <v>5.7915025363980844E-4</v>
      </c>
      <c r="Q29" s="2">
        <f t="shared" si="5"/>
        <v>37702.868900000001</v>
      </c>
    </row>
    <row r="30" spans="1:21" x14ac:dyDescent="0.2">
      <c r="A30" s="12" t="s">
        <v>35</v>
      </c>
      <c r="B30" s="13" t="s">
        <v>29</v>
      </c>
      <c r="C30" s="14">
        <v>52723.324099999998</v>
      </c>
      <c r="D30" s="14">
        <v>8.0000000000000004E-4</v>
      </c>
      <c r="E30">
        <f t="shared" si="0"/>
        <v>-1029.0054692858307</v>
      </c>
      <c r="F30">
        <f t="shared" si="1"/>
        <v>-1029</v>
      </c>
      <c r="G30">
        <f t="shared" si="2"/>
        <v>-1.4262051699915901E-3</v>
      </c>
      <c r="K30">
        <f t="shared" si="3"/>
        <v>-1.4262051699915901E-3</v>
      </c>
      <c r="O30">
        <f t="shared" ca="1" si="4"/>
        <v>5.7995762636983954E-4</v>
      </c>
      <c r="Q30" s="2">
        <f t="shared" si="5"/>
        <v>37704.824099999998</v>
      </c>
    </row>
    <row r="31" spans="1:21" x14ac:dyDescent="0.2">
      <c r="A31" s="12" t="s">
        <v>35</v>
      </c>
      <c r="B31" s="13" t="s">
        <v>30</v>
      </c>
      <c r="C31" s="14">
        <v>52723.454100000003</v>
      </c>
      <c r="D31" s="14">
        <v>1.1999999999999999E-3</v>
      </c>
      <c r="E31">
        <f t="shared" si="0"/>
        <v>-1028.5069385182496</v>
      </c>
      <c r="F31">
        <f t="shared" si="1"/>
        <v>-1028.5</v>
      </c>
      <c r="G31">
        <f t="shared" si="2"/>
        <v>-1.809331399272196E-3</v>
      </c>
      <c r="K31">
        <f t="shared" si="3"/>
        <v>-1.809331399272196E-3</v>
      </c>
      <c r="O31">
        <f t="shared" ca="1" si="4"/>
        <v>5.8001145121850826E-4</v>
      </c>
      <c r="Q31" s="2">
        <f t="shared" si="5"/>
        <v>37704.954100000003</v>
      </c>
    </row>
    <row r="32" spans="1:21" x14ac:dyDescent="0.2">
      <c r="A32" s="12" t="s">
        <v>35</v>
      </c>
      <c r="B32" s="13" t="s">
        <v>29</v>
      </c>
      <c r="C32" s="14">
        <v>52723.585599999999</v>
      </c>
      <c r="D32" s="14">
        <v>1.2999999999999999E-3</v>
      </c>
      <c r="E32">
        <f t="shared" si="0"/>
        <v>-1028.0026554726151</v>
      </c>
      <c r="F32">
        <f t="shared" si="1"/>
        <v>-1028</v>
      </c>
      <c r="G32">
        <f t="shared" si="2"/>
        <v>-6.9245764461811632E-4</v>
      </c>
      <c r="K32">
        <f t="shared" si="3"/>
        <v>-6.9245764461811632E-4</v>
      </c>
      <c r="O32">
        <f t="shared" ca="1" si="4"/>
        <v>5.8006527606717698E-4</v>
      </c>
      <c r="Q32" s="2">
        <f t="shared" si="5"/>
        <v>37705.085599999999</v>
      </c>
    </row>
    <row r="33" spans="1:21" x14ac:dyDescent="0.2">
      <c r="A33" s="29" t="s">
        <v>37</v>
      </c>
      <c r="B33" s="28" t="s">
        <v>30</v>
      </c>
      <c r="C33" s="29">
        <v>52813.417999999998</v>
      </c>
      <c r="D33" s="29">
        <v>8.0000000000000002E-3</v>
      </c>
      <c r="E33">
        <f t="shared" si="0"/>
        <v>-683.50869144150897</v>
      </c>
      <c r="F33">
        <f t="shared" si="1"/>
        <v>-683.5</v>
      </c>
      <c r="G33">
        <f t="shared" si="2"/>
        <v>-2.2664346324745566E-3</v>
      </c>
      <c r="I33">
        <f>+G33</f>
        <v>-2.2664346324745566E-3</v>
      </c>
      <c r="O33">
        <f t="shared" ca="1" si="4"/>
        <v>6.1715059679993598E-4</v>
      </c>
      <c r="Q33" s="2">
        <f t="shared" si="5"/>
        <v>37794.917999999998</v>
      </c>
    </row>
    <row r="34" spans="1:21" x14ac:dyDescent="0.2">
      <c r="A34" s="29" t="s">
        <v>37</v>
      </c>
      <c r="B34" s="28" t="s">
        <v>29</v>
      </c>
      <c r="C34" s="29">
        <v>52813.56</v>
      </c>
      <c r="D34" s="29">
        <v>5.0000000000000001E-3</v>
      </c>
      <c r="E34">
        <f t="shared" si="0"/>
        <v>-682.96414244924824</v>
      </c>
      <c r="F34">
        <f t="shared" si="1"/>
        <v>-683</v>
      </c>
      <c r="G34">
        <f t="shared" si="2"/>
        <v>9.3504391334136017E-3</v>
      </c>
      <c r="I34">
        <f>+G34</f>
        <v>9.3504391334136017E-3</v>
      </c>
      <c r="O34">
        <f t="shared" ca="1" si="4"/>
        <v>6.172044216486047E-4</v>
      </c>
      <c r="Q34" s="2">
        <f t="shared" si="5"/>
        <v>37795.06</v>
      </c>
    </row>
    <row r="35" spans="1:21" x14ac:dyDescent="0.2">
      <c r="A35" s="29" t="s">
        <v>37</v>
      </c>
      <c r="B35" s="28" t="s">
        <v>30</v>
      </c>
      <c r="C35" s="29">
        <v>52814.464999999997</v>
      </c>
      <c r="D35" s="29">
        <v>5.0000000000000001E-3</v>
      </c>
      <c r="E35">
        <f t="shared" si="0"/>
        <v>-679.49360133660127</v>
      </c>
      <c r="F35">
        <f t="shared" si="1"/>
        <v>-679.5</v>
      </c>
      <c r="G35">
        <f t="shared" si="2"/>
        <v>1.6685554728610441E-3</v>
      </c>
      <c r="I35">
        <f>+G35</f>
        <v>1.6685554728610441E-3</v>
      </c>
      <c r="O35">
        <f t="shared" ca="1" si="4"/>
        <v>6.1758119558928584E-4</v>
      </c>
      <c r="Q35" s="2">
        <f t="shared" si="5"/>
        <v>37795.964999999997</v>
      </c>
    </row>
    <row r="36" spans="1:21" x14ac:dyDescent="0.2">
      <c r="A36" s="34" t="s">
        <v>28</v>
      </c>
      <c r="B36" s="35" t="s">
        <v>29</v>
      </c>
      <c r="C36" s="34">
        <v>52991.654000000002</v>
      </c>
      <c r="D36" s="34">
        <v>6.0000000000000001E-3</v>
      </c>
      <c r="E36">
        <f t="shared" si="0"/>
        <v>0</v>
      </c>
      <c r="F36">
        <f t="shared" si="1"/>
        <v>0</v>
      </c>
      <c r="G36">
        <f t="shared" si="2"/>
        <v>0</v>
      </c>
      <c r="L36" s="33"/>
      <c r="M36" s="33"/>
      <c r="N36">
        <f>+G36</f>
        <v>0</v>
      </c>
      <c r="O36">
        <f t="shared" ca="1" si="4"/>
        <v>6.9072916493009774E-4</v>
      </c>
      <c r="Q36" s="2">
        <f t="shared" si="5"/>
        <v>37973.154000000002</v>
      </c>
    </row>
    <row r="37" spans="1:21" x14ac:dyDescent="0.2">
      <c r="A37" s="34" t="s">
        <v>28</v>
      </c>
      <c r="B37" s="35" t="s">
        <v>29</v>
      </c>
      <c r="C37" s="34">
        <v>53035.726000000002</v>
      </c>
      <c r="D37" s="36">
        <v>4.0000000000000001E-3</v>
      </c>
      <c r="E37">
        <f t="shared" si="0"/>
        <v>169.00959990804054</v>
      </c>
      <c r="F37">
        <f t="shared" si="1"/>
        <v>169</v>
      </c>
      <c r="G37">
        <f t="shared" si="2"/>
        <v>2.503332041669637E-3</v>
      </c>
      <c r="K37">
        <f>+G37</f>
        <v>2.503332041669637E-3</v>
      </c>
      <c r="O37">
        <f t="shared" ca="1" si="4"/>
        <v>7.0892196378013041E-4</v>
      </c>
      <c r="Q37" s="2">
        <f t="shared" si="5"/>
        <v>38017.226000000002</v>
      </c>
    </row>
    <row r="38" spans="1:21" x14ac:dyDescent="0.2">
      <c r="A38" s="34" t="s">
        <v>28</v>
      </c>
      <c r="B38" s="35" t="s">
        <v>30</v>
      </c>
      <c r="C38" s="34">
        <v>53036.635000000002</v>
      </c>
      <c r="D38" s="36">
        <v>4.0000000000000001E-3</v>
      </c>
      <c r="E38">
        <f t="shared" si="0"/>
        <v>172.4954804289234</v>
      </c>
      <c r="F38">
        <f t="shared" si="1"/>
        <v>172.5</v>
      </c>
      <c r="G38">
        <f t="shared" si="2"/>
        <v>-1.1785516107920557E-3</v>
      </c>
      <c r="K38">
        <f>+G38</f>
        <v>-1.1785516107920557E-3</v>
      </c>
      <c r="O38">
        <f t="shared" ca="1" si="4"/>
        <v>7.0929873772081155E-4</v>
      </c>
      <c r="Q38" s="2">
        <f t="shared" si="5"/>
        <v>38018.135000000002</v>
      </c>
    </row>
    <row r="39" spans="1:21" x14ac:dyDescent="0.2">
      <c r="A39" s="34" t="s">
        <v>28</v>
      </c>
      <c r="B39" s="35" t="s">
        <v>29</v>
      </c>
      <c r="C39" s="34">
        <v>53045.447800000002</v>
      </c>
      <c r="D39" s="36">
        <v>4.0000000000000002E-4</v>
      </c>
      <c r="E39">
        <f t="shared" si="0"/>
        <v>206.29126464723717</v>
      </c>
      <c r="F39">
        <f t="shared" si="1"/>
        <v>206.5</v>
      </c>
      <c r="O39">
        <f t="shared" ca="1" si="4"/>
        <v>7.1295882743028561E-4</v>
      </c>
      <c r="Q39" s="2">
        <f t="shared" si="5"/>
        <v>38026.947800000002</v>
      </c>
      <c r="U39" s="9">
        <v>-5.8715500003017951E-2</v>
      </c>
    </row>
    <row r="40" spans="1:21" x14ac:dyDescent="0.2">
      <c r="A40" s="34" t="s">
        <v>28</v>
      </c>
      <c r="B40" s="35" t="s">
        <v>30</v>
      </c>
      <c r="C40" s="34">
        <v>53045.500999999997</v>
      </c>
      <c r="D40" s="36">
        <v>1.6999999999999999E-3</v>
      </c>
      <c r="E40">
        <f t="shared" si="0"/>
        <v>206.49527877671244</v>
      </c>
      <c r="F40">
        <f t="shared" si="1"/>
        <v>206.5</v>
      </c>
      <c r="G40">
        <f t="shared" ref="G40:G87" si="6">+C40-(C$7+F40*C$8)</f>
        <v>-1.2311357058933936E-3</v>
      </c>
      <c r="K40">
        <f t="shared" ref="K40:K54" si="7">+G40</f>
        <v>-1.2311357058933936E-3</v>
      </c>
      <c r="O40">
        <f t="shared" ca="1" si="4"/>
        <v>7.1295882743028561E-4</v>
      </c>
      <c r="Q40" s="2">
        <f t="shared" si="5"/>
        <v>38027.000999999997</v>
      </c>
    </row>
    <row r="41" spans="1:21" x14ac:dyDescent="0.2">
      <c r="A41" s="34" t="s">
        <v>28</v>
      </c>
      <c r="B41" s="35" t="s">
        <v>29</v>
      </c>
      <c r="C41" s="34">
        <v>53055.548000000003</v>
      </c>
      <c r="D41" s="36">
        <v>5.0000000000000001E-3</v>
      </c>
      <c r="E41">
        <f t="shared" si="0"/>
        <v>245.02403740525398</v>
      </c>
      <c r="F41">
        <f t="shared" si="1"/>
        <v>245</v>
      </c>
      <c r="G41">
        <f t="shared" si="6"/>
        <v>6.2681440904270858E-3</v>
      </c>
      <c r="K41">
        <f t="shared" si="7"/>
        <v>6.2681440904270858E-3</v>
      </c>
      <c r="O41">
        <f t="shared" ca="1" si="4"/>
        <v>7.1710334077777825E-4</v>
      </c>
      <c r="Q41" s="2">
        <f t="shared" si="5"/>
        <v>38037.048000000003</v>
      </c>
    </row>
    <row r="42" spans="1:21" x14ac:dyDescent="0.2">
      <c r="A42" s="34" t="s">
        <v>28</v>
      </c>
      <c r="B42" s="35" t="s">
        <v>30</v>
      </c>
      <c r="C42" s="34">
        <v>53055.675000000003</v>
      </c>
      <c r="D42" s="36">
        <v>2E-3</v>
      </c>
      <c r="E42">
        <f t="shared" si="0"/>
        <v>245.51106361664421</v>
      </c>
      <c r="F42">
        <f t="shared" si="1"/>
        <v>245.5</v>
      </c>
      <c r="G42">
        <f t="shared" si="6"/>
        <v>2.885017849621363E-3</v>
      </c>
      <c r="K42">
        <f t="shared" si="7"/>
        <v>2.885017849621363E-3</v>
      </c>
      <c r="O42">
        <f t="shared" ca="1" si="4"/>
        <v>7.1715716562644697E-4</v>
      </c>
      <c r="Q42" s="2">
        <f t="shared" si="5"/>
        <v>38037.175000000003</v>
      </c>
    </row>
    <row r="43" spans="1:21" x14ac:dyDescent="0.2">
      <c r="A43" s="34" t="s">
        <v>28</v>
      </c>
      <c r="B43" s="35" t="s">
        <v>29</v>
      </c>
      <c r="C43" s="34">
        <v>53060.5</v>
      </c>
      <c r="D43" s="36">
        <v>2E-3</v>
      </c>
      <c r="E43">
        <f t="shared" si="0"/>
        <v>264.01422479734401</v>
      </c>
      <c r="F43">
        <f t="shared" si="1"/>
        <v>264</v>
      </c>
      <c r="G43">
        <f t="shared" si="6"/>
        <v>3.7093470964464359E-3</v>
      </c>
      <c r="K43">
        <f t="shared" si="7"/>
        <v>3.7093470964464359E-3</v>
      </c>
      <c r="O43">
        <f t="shared" ca="1" si="4"/>
        <v>7.1914868502719021E-4</v>
      </c>
      <c r="Q43" s="2">
        <f t="shared" si="5"/>
        <v>38042</v>
      </c>
    </row>
    <row r="44" spans="1:21" x14ac:dyDescent="0.2">
      <c r="A44" s="34" t="s">
        <v>28</v>
      </c>
      <c r="B44" s="35" t="s">
        <v>29</v>
      </c>
      <c r="C44" s="34">
        <v>53063.63</v>
      </c>
      <c r="D44" s="36">
        <v>3.0000000000000001E-3</v>
      </c>
      <c r="E44">
        <f t="shared" si="0"/>
        <v>276.01731173943244</v>
      </c>
      <c r="F44">
        <f t="shared" si="1"/>
        <v>276</v>
      </c>
      <c r="G44">
        <f t="shared" si="6"/>
        <v>4.5143174138502218E-3</v>
      </c>
      <c r="K44">
        <f t="shared" si="7"/>
        <v>4.5143174138502218E-3</v>
      </c>
      <c r="O44">
        <f t="shared" ca="1" si="4"/>
        <v>7.2044048139523989E-4</v>
      </c>
      <c r="Q44" s="2">
        <f t="shared" si="5"/>
        <v>38045.129999999997</v>
      </c>
    </row>
    <row r="45" spans="1:21" x14ac:dyDescent="0.2">
      <c r="A45" s="34" t="s">
        <v>28</v>
      </c>
      <c r="B45" s="35" t="s">
        <v>29</v>
      </c>
      <c r="C45" s="34">
        <v>53079.531999999999</v>
      </c>
      <c r="D45" s="36">
        <v>2E-3</v>
      </c>
      <c r="E45">
        <f t="shared" si="0"/>
        <v>336.99912916859313</v>
      </c>
      <c r="F45">
        <f t="shared" si="1"/>
        <v>337</v>
      </c>
      <c r="G45">
        <f t="shared" si="6"/>
        <v>-2.270834447699599E-4</v>
      </c>
      <c r="K45">
        <f t="shared" si="7"/>
        <v>-2.270834447699599E-4</v>
      </c>
      <c r="O45">
        <f t="shared" ca="1" si="4"/>
        <v>7.2700711293282563E-4</v>
      </c>
      <c r="Q45" s="2">
        <f t="shared" si="5"/>
        <v>38061.031999999999</v>
      </c>
    </row>
    <row r="46" spans="1:21" x14ac:dyDescent="0.2">
      <c r="A46" s="34" t="s">
        <v>28</v>
      </c>
      <c r="B46" s="35" t="s">
        <v>29</v>
      </c>
      <c r="C46" s="34">
        <v>53110.565000000002</v>
      </c>
      <c r="D46" s="36">
        <v>3.0000000000000001E-3</v>
      </c>
      <c r="E46">
        <f t="shared" si="0"/>
        <v>456.00609309005637</v>
      </c>
      <c r="F46">
        <f t="shared" si="1"/>
        <v>456</v>
      </c>
      <c r="G46">
        <f t="shared" si="6"/>
        <v>1.588872262800578E-3</v>
      </c>
      <c r="K46">
        <f t="shared" si="7"/>
        <v>1.588872262800578E-3</v>
      </c>
      <c r="O46">
        <f t="shared" ca="1" si="4"/>
        <v>7.398174269159848E-4</v>
      </c>
      <c r="Q46" s="2">
        <f t="shared" si="5"/>
        <v>38092.065000000002</v>
      </c>
    </row>
    <row r="47" spans="1:21" x14ac:dyDescent="0.2">
      <c r="A47" s="34" t="s">
        <v>28</v>
      </c>
      <c r="B47" s="35" t="s">
        <v>29</v>
      </c>
      <c r="C47" s="34">
        <v>53111.61</v>
      </c>
      <c r="D47" s="36">
        <v>3.0000000000000001E-3</v>
      </c>
      <c r="E47">
        <f t="shared" si="0"/>
        <v>460.01351349084615</v>
      </c>
      <c r="F47">
        <f t="shared" si="1"/>
        <v>460</v>
      </c>
      <c r="G47">
        <f t="shared" si="6"/>
        <v>3.5238623677287251E-3</v>
      </c>
      <c r="K47">
        <f t="shared" si="7"/>
        <v>3.5238623677287251E-3</v>
      </c>
      <c r="O47">
        <f t="shared" ca="1" si="4"/>
        <v>7.4024802570533466E-4</v>
      </c>
      <c r="Q47" s="2">
        <f t="shared" si="5"/>
        <v>38093.11</v>
      </c>
    </row>
    <row r="48" spans="1:21" x14ac:dyDescent="0.2">
      <c r="A48" s="34" t="s">
        <v>28</v>
      </c>
      <c r="B48" s="35" t="s">
        <v>30</v>
      </c>
      <c r="C48" s="34">
        <v>53112.521999999997</v>
      </c>
      <c r="D48" s="36">
        <v>4.0000000000000001E-3</v>
      </c>
      <c r="E48">
        <f t="shared" si="0"/>
        <v>463.51089856789196</v>
      </c>
      <c r="F48">
        <f t="shared" si="1"/>
        <v>463.5</v>
      </c>
      <c r="G48">
        <f t="shared" si="6"/>
        <v>2.8419787049642764E-3</v>
      </c>
      <c r="K48">
        <f t="shared" si="7"/>
        <v>2.8419787049642764E-3</v>
      </c>
      <c r="O48">
        <f t="shared" ca="1" si="4"/>
        <v>7.406247996460158E-4</v>
      </c>
      <c r="Q48" s="2">
        <f t="shared" si="5"/>
        <v>38094.021999999997</v>
      </c>
    </row>
    <row r="49" spans="1:17" x14ac:dyDescent="0.2">
      <c r="A49" s="34" t="s">
        <v>28</v>
      </c>
      <c r="B49" s="35" t="s">
        <v>29</v>
      </c>
      <c r="C49" s="34">
        <v>53117.482000000004</v>
      </c>
      <c r="D49" s="36">
        <v>3.0000000000000001E-3</v>
      </c>
      <c r="E49">
        <f t="shared" si="0"/>
        <v>482.53176477648157</v>
      </c>
      <c r="F49">
        <f t="shared" si="1"/>
        <v>482.5</v>
      </c>
      <c r="G49">
        <f t="shared" si="6"/>
        <v>8.2831817271653563E-3</v>
      </c>
      <c r="K49">
        <f t="shared" si="7"/>
        <v>8.2831817271653563E-3</v>
      </c>
      <c r="O49">
        <f t="shared" ca="1" si="4"/>
        <v>7.4267014389542776E-4</v>
      </c>
      <c r="Q49" s="2">
        <f t="shared" si="5"/>
        <v>38098.982000000004</v>
      </c>
    </row>
    <row r="50" spans="1:17" x14ac:dyDescent="0.2">
      <c r="A50" s="34" t="s">
        <v>28</v>
      </c>
      <c r="B50" s="35" t="s">
        <v>29</v>
      </c>
      <c r="C50" s="34">
        <v>53117.605000000003</v>
      </c>
      <c r="D50" s="36">
        <v>3.0000000000000001E-3</v>
      </c>
      <c r="E50">
        <f t="shared" si="0"/>
        <v>483.00345157963596</v>
      </c>
      <c r="F50">
        <f t="shared" si="1"/>
        <v>483</v>
      </c>
      <c r="G50">
        <f t="shared" si="6"/>
        <v>9.0005548554472625E-4</v>
      </c>
      <c r="K50">
        <f t="shared" si="7"/>
        <v>9.0005548554472625E-4</v>
      </c>
      <c r="O50">
        <f t="shared" ca="1" si="4"/>
        <v>7.4272396874409648E-4</v>
      </c>
      <c r="Q50" s="2">
        <f t="shared" si="5"/>
        <v>38099.105000000003</v>
      </c>
    </row>
    <row r="51" spans="1:17" x14ac:dyDescent="0.2">
      <c r="A51" s="34" t="s">
        <v>28</v>
      </c>
      <c r="B51" s="35" t="s">
        <v>29</v>
      </c>
      <c r="C51" s="34">
        <v>53120.472000000002</v>
      </c>
      <c r="D51" s="36">
        <v>3.0000000000000001E-3</v>
      </c>
      <c r="E51">
        <f t="shared" si="0"/>
        <v>493.9979724304273</v>
      </c>
      <c r="F51">
        <f t="shared" si="1"/>
        <v>494</v>
      </c>
      <c r="G51">
        <f t="shared" si="6"/>
        <v>-5.2872172091156244E-4</v>
      </c>
      <c r="K51">
        <f t="shared" si="7"/>
        <v>-5.2872172091156244E-4</v>
      </c>
      <c r="O51">
        <f t="shared" ca="1" si="4"/>
        <v>7.4390811541480873E-4</v>
      </c>
      <c r="Q51" s="2">
        <f t="shared" si="5"/>
        <v>38101.972000000002</v>
      </c>
    </row>
    <row r="52" spans="1:17" x14ac:dyDescent="0.2">
      <c r="A52" s="34" t="s">
        <v>28</v>
      </c>
      <c r="B52" s="35" t="s">
        <v>30</v>
      </c>
      <c r="C52" s="34">
        <v>53121.387999999999</v>
      </c>
      <c r="D52" s="36">
        <v>4.0000000000000001E-3</v>
      </c>
      <c r="E52">
        <f t="shared" si="0"/>
        <v>497.51069691570888</v>
      </c>
      <c r="F52">
        <f t="shared" si="1"/>
        <v>497.5</v>
      </c>
      <c r="G52">
        <f t="shared" si="6"/>
        <v>2.7893946244148538E-3</v>
      </c>
      <c r="K52">
        <f t="shared" si="7"/>
        <v>2.7893946244148538E-3</v>
      </c>
      <c r="O52">
        <f t="shared" ca="1" si="4"/>
        <v>7.4428488935548986E-4</v>
      </c>
      <c r="Q52" s="2">
        <f t="shared" si="5"/>
        <v>38102.887999999999</v>
      </c>
    </row>
    <row r="53" spans="1:17" x14ac:dyDescent="0.2">
      <c r="A53" s="34" t="s">
        <v>28</v>
      </c>
      <c r="B53" s="35" t="s">
        <v>29</v>
      </c>
      <c r="C53" s="34">
        <v>53137.425000000003</v>
      </c>
      <c r="D53" s="36">
        <v>3.0000000000000001E-3</v>
      </c>
      <c r="E53">
        <f t="shared" ref="E53:E86" si="8">+(C53-C$7)/C$8</f>
        <v>559.01021937273151</v>
      </c>
      <c r="F53">
        <f t="shared" si="1"/>
        <v>559</v>
      </c>
      <c r="G53">
        <f t="shared" si="6"/>
        <v>2.6648675266187638E-3</v>
      </c>
      <c r="K53">
        <f t="shared" si="7"/>
        <v>2.6648675266187638E-3</v>
      </c>
      <c r="O53">
        <f t="shared" ref="O53:O86" ca="1" si="9">+C$11+C$12*$F53</f>
        <v>7.5090534574174432E-4</v>
      </c>
      <c r="Q53" s="2">
        <f t="shared" ref="Q53:Q86" si="10">+C53-15018.5</f>
        <v>38118.925000000003</v>
      </c>
    </row>
    <row r="54" spans="1:17" x14ac:dyDescent="0.2">
      <c r="A54" s="34" t="s">
        <v>28</v>
      </c>
      <c r="B54" s="35" t="s">
        <v>29</v>
      </c>
      <c r="C54" s="34">
        <v>53150.464999999997</v>
      </c>
      <c r="D54" s="36">
        <v>3.0000000000000001E-3</v>
      </c>
      <c r="E54">
        <f t="shared" si="8"/>
        <v>609.01669021135376</v>
      </c>
      <c r="F54">
        <f t="shared" si="1"/>
        <v>609</v>
      </c>
      <c r="G54">
        <f t="shared" si="6"/>
        <v>4.3522438645595685E-3</v>
      </c>
      <c r="K54">
        <f t="shared" si="7"/>
        <v>4.3522438645595685E-3</v>
      </c>
      <c r="O54">
        <f t="shared" ca="1" si="9"/>
        <v>7.5628783060861793E-4</v>
      </c>
      <c r="Q54" s="2">
        <f t="shared" si="10"/>
        <v>38131.964999999997</v>
      </c>
    </row>
    <row r="55" spans="1:17" x14ac:dyDescent="0.2">
      <c r="A55" s="37" t="s">
        <v>54</v>
      </c>
      <c r="B55" s="38" t="s">
        <v>29</v>
      </c>
      <c r="C55" s="37">
        <v>53203.396000000001</v>
      </c>
      <c r="D55" s="37">
        <v>2E-3</v>
      </c>
      <c r="E55">
        <f t="shared" si="8"/>
        <v>811.99924450281242</v>
      </c>
      <c r="F55">
        <f t="shared" si="1"/>
        <v>812</v>
      </c>
      <c r="G55">
        <f t="shared" si="6"/>
        <v>-1.9700817210832611E-4</v>
      </c>
      <c r="I55">
        <f t="shared" ref="I55:I63" si="11">+G55</f>
        <v>-1.9700817210832611E-4</v>
      </c>
      <c r="K55" s="33"/>
      <c r="L55" s="33"/>
      <c r="M55" s="33"/>
      <c r="O55">
        <f t="shared" ca="1" si="9"/>
        <v>7.7814071916812466E-4</v>
      </c>
      <c r="Q55" s="2">
        <f t="shared" si="10"/>
        <v>38184.896000000001</v>
      </c>
    </row>
    <row r="56" spans="1:17" x14ac:dyDescent="0.2">
      <c r="A56" s="37" t="s">
        <v>54</v>
      </c>
      <c r="B56" s="38" t="s">
        <v>30</v>
      </c>
      <c r="C56" s="37">
        <v>53369.641000000003</v>
      </c>
      <c r="D56" s="37">
        <v>3.0000000000000001E-3</v>
      </c>
      <c r="E56">
        <f t="shared" si="8"/>
        <v>1449.5242249146968</v>
      </c>
      <c r="F56">
        <f t="shared" si="1"/>
        <v>1449.5</v>
      </c>
      <c r="G56">
        <f t="shared" si="6"/>
        <v>6.3170402208925225E-3</v>
      </c>
      <c r="I56">
        <f t="shared" si="11"/>
        <v>6.3170402208925225E-3</v>
      </c>
      <c r="K56" s="33"/>
      <c r="L56" s="33"/>
      <c r="M56" s="33"/>
      <c r="O56">
        <f t="shared" ca="1" si="9"/>
        <v>8.4676740122076278E-4</v>
      </c>
      <c r="Q56" s="2">
        <f t="shared" si="10"/>
        <v>38351.141000000003</v>
      </c>
    </row>
    <row r="57" spans="1:17" x14ac:dyDescent="0.2">
      <c r="A57" s="40" t="s">
        <v>54</v>
      </c>
      <c r="B57" s="41" t="s">
        <v>30</v>
      </c>
      <c r="C57" s="40">
        <v>53374.595000000001</v>
      </c>
      <c r="D57" s="40">
        <v>4.0000000000000001E-3</v>
      </c>
      <c r="E57">
        <f t="shared" si="8"/>
        <v>1468.5220820109048</v>
      </c>
      <c r="F57">
        <f t="shared" si="1"/>
        <v>1468.5</v>
      </c>
      <c r="G57">
        <f t="shared" si="6"/>
        <v>5.7582432273193263E-3</v>
      </c>
      <c r="I57">
        <f t="shared" si="11"/>
        <v>5.7582432273193263E-3</v>
      </c>
      <c r="K57" s="33"/>
      <c r="L57" s="33"/>
      <c r="M57" s="33"/>
      <c r="O57">
        <f t="shared" ca="1" si="9"/>
        <v>8.4881274547017474E-4</v>
      </c>
      <c r="Q57" s="2">
        <f t="shared" si="10"/>
        <v>38356.095000000001</v>
      </c>
    </row>
    <row r="58" spans="1:17" x14ac:dyDescent="0.2">
      <c r="A58" s="40" t="s">
        <v>54</v>
      </c>
      <c r="B58" s="41" t="s">
        <v>29</v>
      </c>
      <c r="C58" s="40">
        <v>53384.627</v>
      </c>
      <c r="D58" s="40">
        <v>2E-3</v>
      </c>
      <c r="E58">
        <f t="shared" si="8"/>
        <v>1506.9933178585479</v>
      </c>
      <c r="F58">
        <f t="shared" si="1"/>
        <v>1507</v>
      </c>
      <c r="G58">
        <f t="shared" si="6"/>
        <v>-1.7424769830540754E-3</v>
      </c>
      <c r="I58">
        <f t="shared" si="11"/>
        <v>-1.7424769830540754E-3</v>
      </c>
      <c r="K58" s="33"/>
      <c r="L58" s="33"/>
      <c r="M58" s="33"/>
      <c r="O58">
        <f t="shared" ca="1" si="9"/>
        <v>8.5295725881766738E-4</v>
      </c>
      <c r="Q58" s="2">
        <f t="shared" si="10"/>
        <v>38366.127</v>
      </c>
    </row>
    <row r="59" spans="1:17" x14ac:dyDescent="0.2">
      <c r="A59" s="40" t="s">
        <v>54</v>
      </c>
      <c r="B59" s="41" t="s">
        <v>29</v>
      </c>
      <c r="C59" s="40">
        <v>53405.49</v>
      </c>
      <c r="D59" s="40">
        <v>3.0000000000000001E-3</v>
      </c>
      <c r="E59">
        <f t="shared" si="8"/>
        <v>1586.9998363483153</v>
      </c>
      <c r="F59">
        <f t="shared" si="1"/>
        <v>1587</v>
      </c>
      <c r="G59">
        <f t="shared" si="6"/>
        <v>-4.2674837459344417E-5</v>
      </c>
      <c r="I59">
        <f t="shared" si="11"/>
        <v>-4.2674837459344417E-5</v>
      </c>
      <c r="K59" s="33"/>
      <c r="L59" s="33"/>
      <c r="M59" s="33"/>
      <c r="O59">
        <f t="shared" ca="1" si="9"/>
        <v>8.6156923460466509E-4</v>
      </c>
      <c r="Q59" s="2">
        <f t="shared" si="10"/>
        <v>38386.99</v>
      </c>
    </row>
    <row r="60" spans="1:17" x14ac:dyDescent="0.2">
      <c r="A60" s="40" t="s">
        <v>54</v>
      </c>
      <c r="B60" s="41" t="s">
        <v>30</v>
      </c>
      <c r="C60" s="40">
        <v>53408.491999999998</v>
      </c>
      <c r="D60" s="40">
        <v>4.0000000000000001E-3</v>
      </c>
      <c r="E60">
        <f t="shared" si="8"/>
        <v>1598.5120622269685</v>
      </c>
      <c r="F60">
        <f t="shared" si="1"/>
        <v>1598.5</v>
      </c>
      <c r="G60">
        <f t="shared" si="6"/>
        <v>3.1454217241844162E-3</v>
      </c>
      <c r="I60">
        <f t="shared" si="11"/>
        <v>3.1454217241844162E-3</v>
      </c>
      <c r="K60" s="33"/>
      <c r="L60" s="33"/>
      <c r="M60" s="33"/>
      <c r="O60">
        <f t="shared" ca="1" si="9"/>
        <v>8.6280720612404605E-4</v>
      </c>
      <c r="Q60" s="2">
        <f t="shared" si="10"/>
        <v>38389.991999999998</v>
      </c>
    </row>
    <row r="61" spans="1:17" x14ac:dyDescent="0.2">
      <c r="A61" s="40" t="s">
        <v>54</v>
      </c>
      <c r="B61" s="41" t="s">
        <v>29</v>
      </c>
      <c r="C61" s="40">
        <v>53409.665000000001</v>
      </c>
      <c r="D61" s="40">
        <v>4.0000000000000001E-3</v>
      </c>
      <c r="E61">
        <f t="shared" si="8"/>
        <v>1603.0103436912214</v>
      </c>
      <c r="F61">
        <f t="shared" si="1"/>
        <v>1603</v>
      </c>
      <c r="G61">
        <f t="shared" si="6"/>
        <v>2.6972855994245037E-3</v>
      </c>
      <c r="I61">
        <f t="shared" si="11"/>
        <v>2.6972855994245037E-3</v>
      </c>
      <c r="K61" s="33"/>
      <c r="L61" s="33"/>
      <c r="M61" s="33"/>
      <c r="O61">
        <f t="shared" ca="1" si="9"/>
        <v>8.6329162976206473E-4</v>
      </c>
      <c r="Q61" s="2">
        <f t="shared" si="10"/>
        <v>38391.165000000001</v>
      </c>
    </row>
    <row r="62" spans="1:17" x14ac:dyDescent="0.2">
      <c r="A62" s="40" t="s">
        <v>54</v>
      </c>
      <c r="B62" s="41" t="s">
        <v>30</v>
      </c>
      <c r="C62" s="40">
        <v>53430.656000000003</v>
      </c>
      <c r="D62" s="40">
        <v>5.0000000000000001E-3</v>
      </c>
      <c r="E62">
        <f t="shared" si="8"/>
        <v>1683.5077232444519</v>
      </c>
      <c r="F62">
        <f t="shared" si="1"/>
        <v>1683.5</v>
      </c>
      <c r="G62">
        <f t="shared" si="6"/>
        <v>2.0139615153311752E-3</v>
      </c>
      <c r="I62">
        <f t="shared" si="11"/>
        <v>2.0139615153311752E-3</v>
      </c>
      <c r="K62" s="33"/>
      <c r="L62" s="33"/>
      <c r="M62" s="33"/>
      <c r="O62">
        <f t="shared" ca="1" si="9"/>
        <v>8.7195743039773115E-4</v>
      </c>
      <c r="Q62" s="2">
        <f t="shared" si="10"/>
        <v>38412.156000000003</v>
      </c>
    </row>
    <row r="63" spans="1:17" x14ac:dyDescent="0.2">
      <c r="A63" s="40" t="s">
        <v>54</v>
      </c>
      <c r="B63" s="41" t="s">
        <v>29</v>
      </c>
      <c r="C63" s="40">
        <v>53463.385000000002</v>
      </c>
      <c r="D63" s="40">
        <v>2E-3</v>
      </c>
      <c r="E63">
        <f t="shared" si="8"/>
        <v>1809.0185962565715</v>
      </c>
      <c r="F63">
        <f t="shared" si="1"/>
        <v>1809</v>
      </c>
      <c r="G63">
        <f t="shared" si="6"/>
        <v>4.8492761343368329E-3</v>
      </c>
      <c r="I63">
        <f t="shared" si="11"/>
        <v>4.8492761343368329E-3</v>
      </c>
      <c r="K63" s="33"/>
      <c r="L63" s="33"/>
      <c r="M63" s="33"/>
      <c r="O63">
        <f t="shared" ca="1" si="9"/>
        <v>8.8546746741358377E-4</v>
      </c>
      <c r="Q63" s="2">
        <f t="shared" si="10"/>
        <v>38444.885000000002</v>
      </c>
    </row>
    <row r="64" spans="1:17" x14ac:dyDescent="0.2">
      <c r="A64" s="42" t="s">
        <v>36</v>
      </c>
      <c r="B64" s="43" t="s">
        <v>30</v>
      </c>
      <c r="C64" s="42">
        <v>53491.414700000001</v>
      </c>
      <c r="D64" s="42">
        <v>1.1999999999999999E-3</v>
      </c>
      <c r="E64">
        <f t="shared" si="8"/>
        <v>1916.5083489916924</v>
      </c>
      <c r="F64">
        <f t="shared" si="1"/>
        <v>1916.5</v>
      </c>
      <c r="G64">
        <f t="shared" si="6"/>
        <v>2.1771352767245844E-3</v>
      </c>
      <c r="K64">
        <f>+G64</f>
        <v>2.1771352767245844E-3</v>
      </c>
      <c r="O64">
        <f t="shared" ca="1" si="9"/>
        <v>8.9703980987736198E-4</v>
      </c>
      <c r="Q64" s="2">
        <f t="shared" si="10"/>
        <v>38472.914700000001</v>
      </c>
    </row>
    <row r="65" spans="1:17" x14ac:dyDescent="0.2">
      <c r="A65" s="42" t="s">
        <v>36</v>
      </c>
      <c r="B65" s="43" t="s">
        <v>29</v>
      </c>
      <c r="C65" s="42">
        <v>53491.5455</v>
      </c>
      <c r="D65" s="42">
        <v>8.9999999999999998E-4</v>
      </c>
      <c r="E65">
        <f t="shared" si="8"/>
        <v>1917.0099476408984</v>
      </c>
      <c r="F65">
        <f t="shared" si="1"/>
        <v>1917</v>
      </c>
      <c r="G65">
        <f t="shared" si="6"/>
        <v>2.5940090345102362E-3</v>
      </c>
      <c r="K65">
        <f>+G65</f>
        <v>2.5940090345102362E-3</v>
      </c>
      <c r="O65">
        <f t="shared" ca="1" si="9"/>
        <v>8.970936347260307E-4</v>
      </c>
      <c r="Q65" s="2">
        <f t="shared" si="10"/>
        <v>38473.0455</v>
      </c>
    </row>
    <row r="66" spans="1:17" x14ac:dyDescent="0.2">
      <c r="A66" s="44" t="s">
        <v>34</v>
      </c>
      <c r="B66" s="43" t="s">
        <v>29</v>
      </c>
      <c r="C66" s="42">
        <v>53809.419199999997</v>
      </c>
      <c r="D66" s="42">
        <v>1.8E-3</v>
      </c>
      <c r="E66">
        <f t="shared" si="8"/>
        <v>3136.0085603266798</v>
      </c>
      <c r="F66">
        <f t="shared" si="1"/>
        <v>3136</v>
      </c>
      <c r="G66">
        <f t="shared" si="6"/>
        <v>2.2322443110169843E-3</v>
      </c>
      <c r="J66">
        <f>+G66</f>
        <v>2.2322443110169843E-3</v>
      </c>
      <c r="O66">
        <f t="shared" ca="1" si="9"/>
        <v>1.0283186157804087E-3</v>
      </c>
      <c r="Q66" s="2">
        <f t="shared" si="10"/>
        <v>38790.919199999997</v>
      </c>
    </row>
    <row r="67" spans="1:17" x14ac:dyDescent="0.2">
      <c r="A67" s="40" t="s">
        <v>44</v>
      </c>
      <c r="B67" s="43" t="s">
        <v>29</v>
      </c>
      <c r="C67" s="42">
        <v>54172.408300000003</v>
      </c>
      <c r="D67" s="42">
        <v>8.9999999999999998E-4</v>
      </c>
      <c r="E67">
        <f t="shared" si="8"/>
        <v>4528.0180575580425</v>
      </c>
      <c r="F67">
        <f t="shared" si="1"/>
        <v>4528</v>
      </c>
      <c r="G67">
        <f t="shared" si="6"/>
        <v>4.708801738161128E-3</v>
      </c>
      <c r="K67">
        <f>+G67</f>
        <v>4.708801738161128E-3</v>
      </c>
      <c r="O67">
        <f t="shared" ca="1" si="9"/>
        <v>1.1781669944741691E-3</v>
      </c>
      <c r="Q67" s="2">
        <f t="shared" si="10"/>
        <v>39153.908300000003</v>
      </c>
    </row>
    <row r="68" spans="1:17" x14ac:dyDescent="0.2">
      <c r="A68" s="45" t="s">
        <v>46</v>
      </c>
      <c r="B68" s="41"/>
      <c r="C68" s="42">
        <v>54554.817799999997</v>
      </c>
      <c r="D68" s="46">
        <v>1E-4</v>
      </c>
      <c r="E68">
        <f t="shared" si="8"/>
        <v>5994.501915700007</v>
      </c>
      <c r="F68">
        <f t="shared" si="1"/>
        <v>5994.5</v>
      </c>
      <c r="G68">
        <f t="shared" si="6"/>
        <v>4.9954991118283942E-4</v>
      </c>
      <c r="K68">
        <f>+G68</f>
        <v>4.9954991118283942E-4</v>
      </c>
      <c r="O68">
        <f t="shared" ca="1" si="9"/>
        <v>1.3360352756195712E-3</v>
      </c>
      <c r="Q68" s="2">
        <f t="shared" si="10"/>
        <v>39536.317799999997</v>
      </c>
    </row>
    <row r="69" spans="1:17" x14ac:dyDescent="0.2">
      <c r="A69" s="45" t="s">
        <v>46</v>
      </c>
      <c r="B69" s="41"/>
      <c r="C69" s="40">
        <v>54817.017599999999</v>
      </c>
      <c r="D69" s="46">
        <v>2.0000000000000001E-4</v>
      </c>
      <c r="E69">
        <f t="shared" si="8"/>
        <v>6999.9993583839905</v>
      </c>
      <c r="F69">
        <f t="shared" si="1"/>
        <v>7000</v>
      </c>
      <c r="G69">
        <f t="shared" si="6"/>
        <v>-1.6731180221540853E-4</v>
      </c>
      <c r="K69">
        <f>+G69</f>
        <v>-1.6731180221540853E-4</v>
      </c>
      <c r="L69" s="33"/>
      <c r="M69" s="33"/>
      <c r="N69" s="33"/>
      <c r="O69">
        <f t="shared" ca="1" si="9"/>
        <v>1.4442770462923986E-3</v>
      </c>
      <c r="Q69" s="2">
        <f t="shared" si="10"/>
        <v>39798.517599999999</v>
      </c>
    </row>
    <row r="70" spans="1:17" x14ac:dyDescent="0.2">
      <c r="A70" s="64" t="s">
        <v>88</v>
      </c>
      <c r="B70" s="65" t="s">
        <v>29</v>
      </c>
      <c r="C70" s="64">
        <v>54972.434500000003</v>
      </c>
      <c r="D70" s="64" t="s">
        <v>67</v>
      </c>
      <c r="E70">
        <f t="shared" si="8"/>
        <v>7596.0001772247169</v>
      </c>
      <c r="F70">
        <f t="shared" si="1"/>
        <v>7596</v>
      </c>
      <c r="G70">
        <f t="shared" si="6"/>
        <v>4.6214227040763944E-5</v>
      </c>
      <c r="I70">
        <f>+G70</f>
        <v>4.6214227040763944E-5</v>
      </c>
      <c r="K70" s="33"/>
      <c r="L70" s="33"/>
      <c r="M70" s="33"/>
      <c r="O70">
        <f t="shared" ca="1" si="9"/>
        <v>1.5084362659055317E-3</v>
      </c>
      <c r="Q70" s="2">
        <f t="shared" si="10"/>
        <v>39953.934500000003</v>
      </c>
    </row>
    <row r="71" spans="1:17" x14ac:dyDescent="0.2">
      <c r="A71" s="42" t="s">
        <v>47</v>
      </c>
      <c r="B71" s="43" t="s">
        <v>29</v>
      </c>
      <c r="C71" s="42">
        <v>54972.436399999999</v>
      </c>
      <c r="D71" s="42">
        <v>8.0000000000000004E-4</v>
      </c>
      <c r="E71">
        <f t="shared" si="8"/>
        <v>7596.0074634436114</v>
      </c>
      <c r="F71">
        <f t="shared" si="1"/>
        <v>7596</v>
      </c>
      <c r="G71">
        <f t="shared" si="6"/>
        <v>1.9462142226984724E-3</v>
      </c>
      <c r="K71">
        <f>+G71</f>
        <v>1.9462142226984724E-3</v>
      </c>
      <c r="L71" s="33"/>
      <c r="M71" s="33"/>
      <c r="O71">
        <f t="shared" ca="1" si="9"/>
        <v>1.5084362659055317E-3</v>
      </c>
      <c r="Q71" s="2">
        <f t="shared" si="10"/>
        <v>39953.936399999999</v>
      </c>
    </row>
    <row r="72" spans="1:17" x14ac:dyDescent="0.2">
      <c r="A72" s="64" t="s">
        <v>88</v>
      </c>
      <c r="B72" s="65" t="s">
        <v>30</v>
      </c>
      <c r="C72" s="64">
        <v>54972.563999999998</v>
      </c>
      <c r="D72" s="64" t="s">
        <v>67</v>
      </c>
      <c r="E72">
        <f t="shared" si="8"/>
        <v>7596.4967905662343</v>
      </c>
      <c r="F72">
        <f t="shared" si="1"/>
        <v>7596.5</v>
      </c>
      <c r="G72">
        <f t="shared" si="6"/>
        <v>-8.3691201871261001E-4</v>
      </c>
      <c r="I72">
        <f>+G72</f>
        <v>-8.3691201871261001E-4</v>
      </c>
      <c r="K72" s="33"/>
      <c r="L72" s="33"/>
      <c r="M72" s="33"/>
      <c r="O72">
        <f t="shared" ca="1" si="9"/>
        <v>1.5084900907542005E-3</v>
      </c>
      <c r="Q72" s="2">
        <f t="shared" si="10"/>
        <v>39954.063999999998</v>
      </c>
    </row>
    <row r="73" spans="1:17" x14ac:dyDescent="0.2">
      <c r="A73" s="40" t="s">
        <v>48</v>
      </c>
      <c r="B73" s="41" t="s">
        <v>29</v>
      </c>
      <c r="C73" s="40">
        <v>55243.883699999998</v>
      </c>
      <c r="D73" s="40">
        <v>1E-3</v>
      </c>
      <c r="E73">
        <f t="shared" si="8"/>
        <v>8636.9677005355898</v>
      </c>
      <c r="F73">
        <f t="shared" si="1"/>
        <v>8637</v>
      </c>
      <c r="G73">
        <f t="shared" si="6"/>
        <v>-8.4226102917455137E-3</v>
      </c>
      <c r="K73">
        <f>+G73</f>
        <v>-8.4226102917455137E-3</v>
      </c>
      <c r="L73" s="33"/>
      <c r="M73" s="33"/>
      <c r="O73">
        <f t="shared" ca="1" si="9"/>
        <v>1.6204996008338398E-3</v>
      </c>
      <c r="Q73" s="2">
        <f t="shared" si="10"/>
        <v>40225.383699999998</v>
      </c>
    </row>
    <row r="74" spans="1:17" x14ac:dyDescent="0.2">
      <c r="A74" s="40" t="s">
        <v>52</v>
      </c>
      <c r="B74" s="41" t="s">
        <v>30</v>
      </c>
      <c r="C74" s="40">
        <v>55315.472199999997</v>
      </c>
      <c r="D74" s="40">
        <v>1.1999999999999999E-3</v>
      </c>
      <c r="E74">
        <f t="shared" si="8"/>
        <v>8911.4990071024895</v>
      </c>
      <c r="F74">
        <f t="shared" si="1"/>
        <v>8911.5</v>
      </c>
      <c r="G74">
        <f t="shared" si="6"/>
        <v>-2.5891416589729488E-4</v>
      </c>
      <c r="J74">
        <f>+G74</f>
        <v>-2.5891416589729488E-4</v>
      </c>
      <c r="K74" s="33"/>
      <c r="L74" s="33"/>
      <c r="M74" s="33"/>
      <c r="O74">
        <f t="shared" ca="1" si="9"/>
        <v>1.6500494427529756E-3</v>
      </c>
      <c r="Q74" s="2">
        <f t="shared" si="10"/>
        <v>40296.972199999997</v>
      </c>
    </row>
    <row r="75" spans="1:17" x14ac:dyDescent="0.2">
      <c r="A75" s="40" t="s">
        <v>52</v>
      </c>
      <c r="B75" s="41" t="s">
        <v>29</v>
      </c>
      <c r="C75" s="40">
        <v>55315.604099999997</v>
      </c>
      <c r="D75" s="40">
        <v>2.0000000000000001E-4</v>
      </c>
      <c r="E75">
        <f t="shared" si="8"/>
        <v>8912.0048240889646</v>
      </c>
      <c r="F75">
        <f t="shared" si="1"/>
        <v>8912</v>
      </c>
      <c r="G75">
        <f t="shared" si="6"/>
        <v>1.2579596004798077E-3</v>
      </c>
      <c r="J75">
        <f>+G75</f>
        <v>1.2579596004798077E-3</v>
      </c>
      <c r="K75" s="33"/>
      <c r="L75" s="33"/>
      <c r="M75" s="33"/>
      <c r="O75">
        <f t="shared" ca="1" si="9"/>
        <v>1.6501032676016444E-3</v>
      </c>
      <c r="Q75" s="2">
        <f t="shared" si="10"/>
        <v>40297.104099999997</v>
      </c>
    </row>
    <row r="76" spans="1:17" x14ac:dyDescent="0.2">
      <c r="A76" s="47" t="s">
        <v>51</v>
      </c>
      <c r="B76" s="48" t="s">
        <v>29</v>
      </c>
      <c r="C76" s="49">
        <v>55316.3851</v>
      </c>
      <c r="D76" s="49">
        <v>1E-4</v>
      </c>
      <c r="E76">
        <f t="shared" si="8"/>
        <v>8914.9998435464131</v>
      </c>
      <c r="F76">
        <f t="shared" si="1"/>
        <v>8915</v>
      </c>
      <c r="G76">
        <f t="shared" si="6"/>
        <v>-4.0797815017867833E-5</v>
      </c>
      <c r="K76">
        <f t="shared" ref="K76:K87" si="12">+G76</f>
        <v>-4.0797815017867833E-5</v>
      </c>
      <c r="L76" s="33"/>
      <c r="M76" s="33"/>
      <c r="O76">
        <f t="shared" ca="1" si="9"/>
        <v>1.6504262166936569E-3</v>
      </c>
      <c r="Q76" s="2">
        <f t="shared" si="10"/>
        <v>40297.8851</v>
      </c>
    </row>
    <row r="77" spans="1:17" x14ac:dyDescent="0.2">
      <c r="A77" s="47" t="s">
        <v>51</v>
      </c>
      <c r="B77" s="48" t="s">
        <v>30</v>
      </c>
      <c r="C77" s="49">
        <v>55316.5147</v>
      </c>
      <c r="D77" s="49">
        <v>1E-4</v>
      </c>
      <c r="E77">
        <f t="shared" si="8"/>
        <v>8915.4968403731527</v>
      </c>
      <c r="F77">
        <f t="shared" si="1"/>
        <v>8915.5</v>
      </c>
      <c r="G77">
        <f t="shared" si="6"/>
        <v>-8.2392404874553904E-4</v>
      </c>
      <c r="K77">
        <f t="shared" si="12"/>
        <v>-8.2392404874553904E-4</v>
      </c>
      <c r="L77" s="33"/>
      <c r="M77" s="33"/>
      <c r="O77">
        <f t="shared" ca="1" si="9"/>
        <v>1.6504800415423255E-3</v>
      </c>
      <c r="Q77" s="2">
        <f t="shared" si="10"/>
        <v>40298.0147</v>
      </c>
    </row>
    <row r="78" spans="1:17" x14ac:dyDescent="0.2">
      <c r="A78" s="47" t="s">
        <v>51</v>
      </c>
      <c r="B78" s="48" t="s">
        <v>29</v>
      </c>
      <c r="C78" s="49">
        <v>55333.334900000002</v>
      </c>
      <c r="D78" s="49">
        <v>1E-4</v>
      </c>
      <c r="E78">
        <f t="shared" si="8"/>
        <v>8979.9998189621328</v>
      </c>
      <c r="F78">
        <f t="shared" si="1"/>
        <v>8980</v>
      </c>
      <c r="G78">
        <f t="shared" si="6"/>
        <v>-4.7208566684275866E-5</v>
      </c>
      <c r="K78">
        <f t="shared" si="12"/>
        <v>-4.7208566684275866E-5</v>
      </c>
      <c r="L78" s="33"/>
      <c r="M78" s="33"/>
      <c r="O78">
        <f t="shared" ca="1" si="9"/>
        <v>1.6574234470205923E-3</v>
      </c>
      <c r="Q78" s="2">
        <f t="shared" si="10"/>
        <v>40314.834900000002</v>
      </c>
    </row>
    <row r="79" spans="1:17" x14ac:dyDescent="0.2">
      <c r="A79" s="47" t="s">
        <v>51</v>
      </c>
      <c r="B79" s="48" t="s">
        <v>30</v>
      </c>
      <c r="C79" s="49">
        <v>55333.463900000002</v>
      </c>
      <c r="D79" s="49">
        <v>1E-4</v>
      </c>
      <c r="E79">
        <f t="shared" si="8"/>
        <v>8980.4945148776424</v>
      </c>
      <c r="F79">
        <f t="shared" si="1"/>
        <v>8980.5</v>
      </c>
      <c r="G79">
        <f t="shared" si="6"/>
        <v>-1.4303347998065874E-3</v>
      </c>
      <c r="K79">
        <f t="shared" si="12"/>
        <v>-1.4303347998065874E-3</v>
      </c>
      <c r="L79" s="33"/>
      <c r="M79" s="33"/>
      <c r="O79">
        <f t="shared" ca="1" si="9"/>
        <v>1.6574772718692611E-3</v>
      </c>
      <c r="Q79" s="2">
        <f t="shared" si="10"/>
        <v>40314.963900000002</v>
      </c>
    </row>
    <row r="80" spans="1:17" x14ac:dyDescent="0.2">
      <c r="A80" s="40" t="s">
        <v>53</v>
      </c>
      <c r="B80" s="41" t="s">
        <v>30</v>
      </c>
      <c r="C80" s="40">
        <v>55637.911200000002</v>
      </c>
      <c r="D80" s="40">
        <v>4.0000000000000002E-4</v>
      </c>
      <c r="E80">
        <f t="shared" si="8"/>
        <v>10148.00486988951</v>
      </c>
      <c r="F80">
        <f t="shared" si="1"/>
        <v>10148</v>
      </c>
      <c r="G80">
        <f t="shared" si="6"/>
        <v>1.2699028375209309E-3</v>
      </c>
      <c r="K80">
        <f t="shared" si="12"/>
        <v>1.2699028375209309E-3</v>
      </c>
      <c r="L80" s="33"/>
      <c r="M80" s="33"/>
      <c r="O80">
        <f t="shared" ca="1" si="9"/>
        <v>1.7831582935107593E-3</v>
      </c>
      <c r="Q80" s="2">
        <f t="shared" si="10"/>
        <v>40619.411200000002</v>
      </c>
    </row>
    <row r="81" spans="1:17" x14ac:dyDescent="0.2">
      <c r="A81" s="44" t="s">
        <v>56</v>
      </c>
      <c r="B81" s="43" t="s">
        <v>30</v>
      </c>
      <c r="C81" s="42">
        <v>55670.37545</v>
      </c>
      <c r="D81" s="42">
        <v>5.0000000000000001E-4</v>
      </c>
      <c r="E81">
        <f t="shared" si="8"/>
        <v>10272.500465819217</v>
      </c>
      <c r="F81">
        <f t="shared" si="1"/>
        <v>10272.5</v>
      </c>
      <c r="G81">
        <f t="shared" si="6"/>
        <v>1.2146992958150804E-4</v>
      </c>
      <c r="K81">
        <f t="shared" si="12"/>
        <v>1.2146992958150804E-4</v>
      </c>
      <c r="L81" s="33"/>
      <c r="M81" s="33"/>
      <c r="O81">
        <f t="shared" ca="1" si="9"/>
        <v>1.7965606808292745E-3</v>
      </c>
      <c r="Q81" s="2">
        <f t="shared" si="10"/>
        <v>40651.87545</v>
      </c>
    </row>
    <row r="82" spans="1:17" x14ac:dyDescent="0.2">
      <c r="A82" s="44" t="s">
        <v>56</v>
      </c>
      <c r="B82" s="43" t="s">
        <v>29</v>
      </c>
      <c r="C82" s="42">
        <v>55670.50705</v>
      </c>
      <c r="D82" s="42">
        <v>5.0000000000000001E-4</v>
      </c>
      <c r="E82">
        <f t="shared" si="8"/>
        <v>10273.005132350076</v>
      </c>
      <c r="F82">
        <f t="shared" si="1"/>
        <v>10273</v>
      </c>
      <c r="G82">
        <f t="shared" si="6"/>
        <v>1.3383436962612905E-3</v>
      </c>
      <c r="K82">
        <f t="shared" si="12"/>
        <v>1.3383436962612905E-3</v>
      </c>
      <c r="L82" s="33"/>
      <c r="M82" s="33"/>
      <c r="O82">
        <f t="shared" ca="1" si="9"/>
        <v>1.7966145056779433E-3</v>
      </c>
      <c r="Q82" s="2">
        <f t="shared" si="10"/>
        <v>40652.00705</v>
      </c>
    </row>
    <row r="83" spans="1:17" x14ac:dyDescent="0.2">
      <c r="A83" s="40" t="s">
        <v>53</v>
      </c>
      <c r="B83" s="41" t="s">
        <v>30</v>
      </c>
      <c r="C83" s="40">
        <v>55694.755499999999</v>
      </c>
      <c r="D83" s="40">
        <v>6.9999999999999999E-4</v>
      </c>
      <c r="E83">
        <f t="shared" si="8"/>
        <v>10365.994350740209</v>
      </c>
      <c r="F83">
        <f t="shared" si="1"/>
        <v>10366</v>
      </c>
      <c r="G83">
        <f t="shared" si="6"/>
        <v>-1.4731363044120371E-3</v>
      </c>
      <c r="K83">
        <f t="shared" si="12"/>
        <v>-1.4731363044120371E-3</v>
      </c>
      <c r="L83" s="33"/>
      <c r="M83" s="33"/>
      <c r="O83">
        <f t="shared" ca="1" si="9"/>
        <v>1.806625927530328E-3</v>
      </c>
      <c r="Q83" s="2">
        <f t="shared" si="10"/>
        <v>40676.255499999999</v>
      </c>
    </row>
    <row r="84" spans="1:17" x14ac:dyDescent="0.2">
      <c r="A84" s="40" t="s">
        <v>53</v>
      </c>
      <c r="B84" s="41" t="s">
        <v>29</v>
      </c>
      <c r="C84" s="40">
        <v>55694.889799999997</v>
      </c>
      <c r="D84" s="40">
        <v>6.9999999999999999E-4</v>
      </c>
      <c r="E84" s="33">
        <f t="shared" si="8"/>
        <v>10366.509371371616</v>
      </c>
      <c r="F84">
        <f t="shared" si="1"/>
        <v>10366.5</v>
      </c>
      <c r="G84">
        <f t="shared" si="6"/>
        <v>2.4437374595436268E-3</v>
      </c>
      <c r="K84">
        <f t="shared" si="12"/>
        <v>2.4437374595436268E-3</v>
      </c>
      <c r="L84" s="33"/>
      <c r="M84" s="33"/>
      <c r="O84">
        <f t="shared" ca="1" si="9"/>
        <v>1.8066797523789968E-3</v>
      </c>
      <c r="Q84" s="2">
        <f t="shared" si="10"/>
        <v>40676.389799999997</v>
      </c>
    </row>
    <row r="85" spans="1:17" x14ac:dyDescent="0.2">
      <c r="A85" s="42" t="s">
        <v>55</v>
      </c>
      <c r="B85" s="43" t="s">
        <v>30</v>
      </c>
      <c r="C85" s="42">
        <v>56003.895700000001</v>
      </c>
      <c r="D85" s="42">
        <v>2.9999999999999997E-4</v>
      </c>
      <c r="E85" s="33">
        <f t="shared" si="8"/>
        <v>11551.501282975911</v>
      </c>
      <c r="F85">
        <f>ROUND(2*E85,0)/2</f>
        <v>11551.5</v>
      </c>
      <c r="G85">
        <f t="shared" si="6"/>
        <v>3.3455681841587648E-4</v>
      </c>
      <c r="K85">
        <f t="shared" si="12"/>
        <v>3.3455681841587648E-4</v>
      </c>
      <c r="L85" s="33"/>
      <c r="M85" s="33"/>
      <c r="O85">
        <f t="shared" ca="1" si="9"/>
        <v>1.9342446437239007E-3</v>
      </c>
      <c r="Q85" s="2">
        <f t="shared" si="10"/>
        <v>40985.395700000001</v>
      </c>
    </row>
    <row r="86" spans="1:17" x14ac:dyDescent="0.2">
      <c r="A86" s="42" t="s">
        <v>55</v>
      </c>
      <c r="B86" s="43" t="s">
        <v>30</v>
      </c>
      <c r="C86" s="42">
        <v>56077.6921</v>
      </c>
      <c r="D86" s="42">
        <v>2.0000000000000001E-4</v>
      </c>
      <c r="E86" s="33">
        <f t="shared" si="8"/>
        <v>11834.499559402067</v>
      </c>
      <c r="F86">
        <f>ROUND(2*E86,0)/2</f>
        <v>11834.5</v>
      </c>
      <c r="G86">
        <f t="shared" si="6"/>
        <v>-1.1489307507872581E-4</v>
      </c>
      <c r="K86">
        <f t="shared" si="12"/>
        <v>-1.1489307507872581E-4</v>
      </c>
      <c r="L86" s="33"/>
      <c r="M86" s="33"/>
      <c r="O86">
        <f t="shared" ca="1" si="9"/>
        <v>1.964709508070405E-3</v>
      </c>
      <c r="Q86" s="2">
        <f t="shared" si="10"/>
        <v>41059.1921</v>
      </c>
    </row>
    <row r="87" spans="1:17" x14ac:dyDescent="0.2">
      <c r="A87" s="69" t="s">
        <v>165</v>
      </c>
      <c r="B87" s="70" t="s">
        <v>30</v>
      </c>
      <c r="C87" s="71">
        <v>57135.362200000003</v>
      </c>
      <c r="D87" s="71">
        <v>1E-4</v>
      </c>
      <c r="E87" s="33">
        <f>+(C87-C$7)/C$8</f>
        <v>15890.507919260872</v>
      </c>
      <c r="F87">
        <f>ROUND(2*E87,0)/2</f>
        <v>15890.5</v>
      </c>
      <c r="G87">
        <f t="shared" si="6"/>
        <v>2.0650759834097698E-3</v>
      </c>
      <c r="K87">
        <f t="shared" si="12"/>
        <v>2.0650759834097698E-3</v>
      </c>
      <c r="L87" s="33"/>
      <c r="M87" s="33"/>
      <c r="O87">
        <f ca="1">+C$11+C$12*$F87</f>
        <v>2.4013366804711898E-3</v>
      </c>
      <c r="Q87" s="2">
        <f>+C87-15018.5</f>
        <v>42116.862200000003</v>
      </c>
    </row>
    <row r="88" spans="1:17" x14ac:dyDescent="0.2">
      <c r="A88" s="71" t="s">
        <v>0</v>
      </c>
      <c r="B88" s="81" t="s">
        <v>29</v>
      </c>
      <c r="C88" s="74">
        <v>57855.464899999999</v>
      </c>
      <c r="D88" s="74">
        <v>2.8999999999999998E-3</v>
      </c>
      <c r="E88" s="33">
        <f>+(C88-C$7)/C$8</f>
        <v>18651.995240455704</v>
      </c>
      <c r="F88">
        <f>ROUND(2*E88,0)/2</f>
        <v>18652</v>
      </c>
      <c r="G88">
        <f>+C88-(C$7+F88*C$8)</f>
        <v>-1.241128527908586E-3</v>
      </c>
      <c r="K88">
        <f>+G88</f>
        <v>-1.241128527908586E-3</v>
      </c>
      <c r="L88" s="33"/>
      <c r="M88" s="33"/>
      <c r="O88">
        <f ca="1">+C$11+C$12*$F88</f>
        <v>2.6986113196686172E-3</v>
      </c>
      <c r="Q88" s="2">
        <f>+C88-15018.5</f>
        <v>42836.964899999999</v>
      </c>
    </row>
    <row r="89" spans="1:17" x14ac:dyDescent="0.2">
      <c r="A89" s="75" t="s">
        <v>166</v>
      </c>
      <c r="B89" s="76" t="s">
        <v>29</v>
      </c>
      <c r="C89" s="77">
        <v>57902.418440000154</v>
      </c>
      <c r="D89" s="77">
        <v>1E-4</v>
      </c>
      <c r="E89" s="33">
        <f>+(C89-C$7)/C$8</f>
        <v>18832.055119964065</v>
      </c>
      <c r="F89">
        <f>ROUND(2*E89,0)/2</f>
        <v>18832</v>
      </c>
      <c r="G89">
        <f>+C89-(C$7+F89*C$8)</f>
        <v>1.4373426463862415E-2</v>
      </c>
      <c r="K89">
        <f>+G89</f>
        <v>1.4373426463862415E-2</v>
      </c>
      <c r="L89" s="33"/>
      <c r="M89" s="33"/>
      <c r="O89">
        <f ca="1">+C$11+C$12*$F89</f>
        <v>2.717988265189362E-3</v>
      </c>
      <c r="Q89" s="2">
        <f>+C89-15018.5</f>
        <v>42883.918440000154</v>
      </c>
    </row>
    <row r="90" spans="1:17" x14ac:dyDescent="0.2">
      <c r="A90" s="33"/>
      <c r="B90" s="43"/>
      <c r="C90" s="33"/>
      <c r="D90" s="33"/>
      <c r="E90" s="33"/>
    </row>
    <row r="91" spans="1:17" x14ac:dyDescent="0.2">
      <c r="A91" s="33"/>
      <c r="B91" s="43"/>
      <c r="C91" s="33"/>
      <c r="D91" s="33"/>
      <c r="E91" s="33"/>
    </row>
    <row r="92" spans="1:17" x14ac:dyDescent="0.2">
      <c r="A92" s="33"/>
      <c r="B92" s="43"/>
      <c r="C92" s="33"/>
      <c r="D92" s="33"/>
      <c r="E92" s="33"/>
    </row>
    <row r="93" spans="1:17" x14ac:dyDescent="0.2">
      <c r="B93" s="15"/>
    </row>
    <row r="94" spans="1:17" x14ac:dyDescent="0.2">
      <c r="B94" s="15"/>
    </row>
    <row r="95" spans="1:17" x14ac:dyDescent="0.2">
      <c r="B95" s="15"/>
    </row>
    <row r="96" spans="1:17" x14ac:dyDescent="0.2">
      <c r="B96" s="15"/>
    </row>
    <row r="97" spans="2:2" x14ac:dyDescent="0.2">
      <c r="B97" s="15"/>
    </row>
    <row r="98" spans="2:2" x14ac:dyDescent="0.2">
      <c r="B98" s="15"/>
    </row>
    <row r="99" spans="2:2" x14ac:dyDescent="0.2">
      <c r="B99" s="15"/>
    </row>
    <row r="100" spans="2:2" x14ac:dyDescent="0.2">
      <c r="B100" s="15"/>
    </row>
    <row r="101" spans="2:2" x14ac:dyDescent="0.2">
      <c r="B101" s="15"/>
    </row>
    <row r="102" spans="2:2" x14ac:dyDescent="0.2">
      <c r="B102" s="15"/>
    </row>
    <row r="103" spans="2:2" x14ac:dyDescent="0.2">
      <c r="B103" s="15"/>
    </row>
    <row r="104" spans="2:2" x14ac:dyDescent="0.2">
      <c r="B104" s="15"/>
    </row>
    <row r="105" spans="2:2" x14ac:dyDescent="0.2">
      <c r="B105" s="15"/>
    </row>
    <row r="106" spans="2:2" x14ac:dyDescent="0.2">
      <c r="B106" s="15"/>
    </row>
    <row r="107" spans="2:2" x14ac:dyDescent="0.2">
      <c r="B107" s="15"/>
    </row>
    <row r="108" spans="2:2" x14ac:dyDescent="0.2">
      <c r="B108" s="15"/>
    </row>
    <row r="109" spans="2:2" x14ac:dyDescent="0.2">
      <c r="B109" s="15"/>
    </row>
    <row r="110" spans="2:2" x14ac:dyDescent="0.2">
      <c r="B110" s="15"/>
    </row>
    <row r="111" spans="2:2" x14ac:dyDescent="0.2">
      <c r="B111" s="15"/>
    </row>
  </sheetData>
  <protectedRanges>
    <protectedRange sqref="A89:D89" name="Range1"/>
  </protectedRanges>
  <phoneticPr fontId="7" type="noConversion"/>
  <hyperlinks>
    <hyperlink ref="H1225" r:id="rId1" display="http://vsolj.cetus-net.org/bulletin.html"/>
    <hyperlink ref="H64801" r:id="rId2" display="http://vsolj.cetus-net.org/bulletin.html"/>
    <hyperlink ref="H64794" r:id="rId3" display="https://www.aavso.org/ejaavso"/>
    <hyperlink ref="AP945" r:id="rId4" display="http://cdsbib.u-strasbg.fr/cgi-bin/cdsbib?1990RMxAA..21..381G"/>
    <hyperlink ref="AP949" r:id="rId5" display="http://cdsbib.u-strasbg.fr/cgi-bin/cdsbib?1990RMxAA..21..381G"/>
    <hyperlink ref="AP948" r:id="rId6" display="http://cdsbib.u-strasbg.fr/cgi-bin/cdsbib?1990RMxAA..21..381G"/>
    <hyperlink ref="AP929" r:id="rId7" display="http://cdsbib.u-strasbg.fr/cgi-bin/cdsbib?1990RMxAA..21..381G"/>
    <hyperlink ref="I64801" r:id="rId8" display="http://vsolj.cetus-net.org/bulletin.html"/>
    <hyperlink ref="AQ1085" r:id="rId9" display="http://cdsbib.u-strasbg.fr/cgi-bin/cdsbib?1990RMxAA..21..381G"/>
    <hyperlink ref="AQ55851" r:id="rId10" display="http://cdsbib.u-strasbg.fr/cgi-bin/cdsbib?1990RMxAA..21..381G"/>
    <hyperlink ref="AQ1086" r:id="rId11" display="http://cdsbib.u-strasbg.fr/cgi-bin/cdsbib?1990RMxAA..21..381G"/>
    <hyperlink ref="H64798" r:id="rId12" display="https://www.aavso.org/ejaavso"/>
    <hyperlink ref="H1971" r:id="rId13" display="http://vsolj.cetus-net.org/bulletin.html"/>
    <hyperlink ref="AP3215" r:id="rId14" display="http://cdsbib.u-strasbg.fr/cgi-bin/cdsbib?1990RMxAA..21..381G"/>
    <hyperlink ref="AP3218" r:id="rId15" display="http://cdsbib.u-strasbg.fr/cgi-bin/cdsbib?1990RMxAA..21..381G"/>
    <hyperlink ref="AP3216" r:id="rId16" display="http://cdsbib.u-strasbg.fr/cgi-bin/cdsbib?1990RMxAA..21..381G"/>
    <hyperlink ref="AP3200" r:id="rId17" display="http://cdsbib.u-strasbg.fr/cgi-bin/cdsbib?1990RMxAA..21..381G"/>
    <hyperlink ref="I1971" r:id="rId18" display="http://vsolj.cetus-net.org/bulletin.html"/>
    <hyperlink ref="AQ3429" r:id="rId19" display="http://cdsbib.u-strasbg.fr/cgi-bin/cdsbib?1990RMxAA..21..381G"/>
    <hyperlink ref="AQ130" r:id="rId20" display="http://cdsbib.u-strasbg.fr/cgi-bin/cdsbib?1990RMxAA..21..381G"/>
    <hyperlink ref="AQ3433" r:id="rId21" display="http://cdsbib.u-strasbg.fr/cgi-bin/cdsbib?1990RMxAA..21..381G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33</v>
      </c>
      <c r="F2" s="78" t="s">
        <v>167</v>
      </c>
    </row>
    <row r="4" spans="1:6" ht="14.25" thickTop="1" thickBot="1" x14ac:dyDescent="0.25">
      <c r="A4" s="4" t="s">
        <v>1</v>
      </c>
      <c r="C4" s="7" t="s">
        <v>31</v>
      </c>
      <c r="D4" s="8" t="s">
        <v>31</v>
      </c>
    </row>
    <row r="5" spans="1:6" ht="13.5" thickTop="1" x14ac:dyDescent="0.2">
      <c r="A5" s="16" t="s">
        <v>39</v>
      </c>
      <c r="B5" s="17"/>
      <c r="C5" s="18">
        <v>-9.5</v>
      </c>
      <c r="D5" s="17" t="s">
        <v>40</v>
      </c>
    </row>
    <row r="6" spans="1:6" x14ac:dyDescent="0.2">
      <c r="A6" s="4" t="s">
        <v>2</v>
      </c>
    </row>
    <row r="7" spans="1:6" x14ac:dyDescent="0.2">
      <c r="A7" t="s">
        <v>3</v>
      </c>
      <c r="C7" s="79">
        <v>52991.654000000002</v>
      </c>
    </row>
    <row r="8" spans="1:6" x14ac:dyDescent="0.2">
      <c r="A8" t="s">
        <v>4</v>
      </c>
      <c r="C8" s="80">
        <v>0.26078699999999999</v>
      </c>
    </row>
    <row r="9" spans="1:6" x14ac:dyDescent="0.2">
      <c r="A9" s="31" t="s">
        <v>45</v>
      </c>
      <c r="B9" s="32">
        <v>21</v>
      </c>
      <c r="C9" s="30" t="str">
        <f>"F"&amp;B9</f>
        <v>F21</v>
      </c>
      <c r="D9" s="9" t="str">
        <f>"G"&amp;B9</f>
        <v>G21</v>
      </c>
    </row>
    <row r="10" spans="1:6" ht="13.5" thickBot="1" x14ac:dyDescent="0.25">
      <c r="A10" s="17"/>
      <c r="B10" s="17"/>
      <c r="C10" s="3" t="s">
        <v>20</v>
      </c>
      <c r="D10" s="3" t="s">
        <v>21</v>
      </c>
      <c r="E10" s="17"/>
    </row>
    <row r="11" spans="1:6" x14ac:dyDescent="0.2">
      <c r="A11" s="17" t="s">
        <v>16</v>
      </c>
      <c r="B11" s="17"/>
      <c r="C11" s="10">
        <f ca="1">INTERCEPT(INDIRECT($D$9):G992,INDIRECT($C$9):F992)</f>
        <v>6.9072916532925133E-4</v>
      </c>
      <c r="D11" s="15"/>
      <c r="E11" s="17"/>
    </row>
    <row r="12" spans="1:6" x14ac:dyDescent="0.2">
      <c r="A12" s="17" t="s">
        <v>17</v>
      </c>
      <c r="B12" s="17"/>
      <c r="C12" s="10">
        <f ca="1">SLOPE(INDIRECT($D$9):G992,INDIRECT($C$9):F992)</f>
        <v>-2.0639877188518535E-5</v>
      </c>
      <c r="D12" s="15"/>
      <c r="E12" s="17"/>
    </row>
    <row r="13" spans="1:6" x14ac:dyDescent="0.2">
      <c r="A13" s="17" t="s">
        <v>19</v>
      </c>
      <c r="B13" s="17"/>
      <c r="C13" s="15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11">
        <f ca="1">(C7+C11)+(C8+C12)*INT(MAX(F21:F3533))</f>
        <v>57902.406784561957</v>
      </c>
      <c r="E15" s="20" t="s">
        <v>49</v>
      </c>
      <c r="F15" s="18">
        <v>1</v>
      </c>
    </row>
    <row r="16" spans="1:6" x14ac:dyDescent="0.2">
      <c r="A16" s="22" t="s">
        <v>5</v>
      </c>
      <c r="B16" s="17"/>
      <c r="C16" s="23">
        <f ca="1">+C8+C12</f>
        <v>0.26076636012281146</v>
      </c>
      <c r="E16" s="20" t="s">
        <v>41</v>
      </c>
      <c r="F16" s="21">
        <f ca="1">NOW()+15018.5+$C$5/24</f>
        <v>60339.74543333333</v>
      </c>
    </row>
    <row r="17" spans="1:21" ht="13.5" thickBot="1" x14ac:dyDescent="0.25">
      <c r="A17" s="20" t="s">
        <v>32</v>
      </c>
      <c r="B17" s="17"/>
      <c r="C17" s="17">
        <f>COUNT(C21:C2191)</f>
        <v>69</v>
      </c>
      <c r="E17" s="20" t="s">
        <v>50</v>
      </c>
      <c r="F17" s="21">
        <f ca="1">ROUND(2*(F16-$C$7)/$C$8,0)/2+F15</f>
        <v>28177.5</v>
      </c>
    </row>
    <row r="18" spans="1:21" ht="14.25" thickTop="1" thickBot="1" x14ac:dyDescent="0.25">
      <c r="A18" s="22" t="s">
        <v>6</v>
      </c>
      <c r="B18" s="17"/>
      <c r="C18" s="25">
        <f ca="1">+C15</f>
        <v>57902.406784561957</v>
      </c>
      <c r="D18" s="26">
        <f ca="1">+C16</f>
        <v>0.26076636012281146</v>
      </c>
      <c r="E18" s="20" t="s">
        <v>42</v>
      </c>
      <c r="F18" s="9">
        <f ca="1">ROUND(2*(F16-$C$15)/$C$16,0)/2+F15</f>
        <v>9348</v>
      </c>
    </row>
    <row r="19" spans="1:21" ht="13.5" thickTop="1" x14ac:dyDescent="0.2">
      <c r="E19" s="20" t="s">
        <v>43</v>
      </c>
      <c r="F19" s="24">
        <f ca="1">+$C$15+$C$16*F18-15018.5-$C$5/24</f>
        <v>45321.946552323338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64</v>
      </c>
      <c r="I20" s="6" t="s">
        <v>67</v>
      </c>
      <c r="J20" s="6" t="s">
        <v>61</v>
      </c>
      <c r="K20" s="6" t="s">
        <v>59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66" t="s">
        <v>164</v>
      </c>
    </row>
    <row r="21" spans="1:21" x14ac:dyDescent="0.2">
      <c r="A21" s="12" t="s">
        <v>35</v>
      </c>
      <c r="B21" s="13" t="s">
        <v>30</v>
      </c>
      <c r="C21" s="14">
        <v>51304.876499999998</v>
      </c>
      <c r="D21" s="14">
        <v>6.9999999999999999E-4</v>
      </c>
      <c r="E21">
        <f t="shared" ref="E21:E52" si="0">+(C21-C$7)/C$8</f>
        <v>-6468.027547385429</v>
      </c>
      <c r="F21" s="67">
        <f>ROUND(2*E21,0)/2-0.5</f>
        <v>-6468.5</v>
      </c>
      <c r="G21">
        <f t="shared" ref="G21:G38" si="1">+C21-(C$7+F21*C$8)</f>
        <v>0.12320949999411823</v>
      </c>
      <c r="K21">
        <f t="shared" ref="K21:K32" si="2">+G21</f>
        <v>0.12320949999411823</v>
      </c>
      <c r="O21">
        <f t="shared" ref="O21:O52" ca="1" si="3">+C$11+C$12*$F21</f>
        <v>0.1341997747592614</v>
      </c>
      <c r="Q21" s="2">
        <f t="shared" ref="Q21:Q52" si="4">+C21-15018.5</f>
        <v>36286.376499999998</v>
      </c>
      <c r="U21" s="9"/>
    </row>
    <row r="22" spans="1:21" x14ac:dyDescent="0.2">
      <c r="A22" s="12" t="s">
        <v>35</v>
      </c>
      <c r="B22" s="13" t="s">
        <v>29</v>
      </c>
      <c r="C22" s="14">
        <v>51348.820099999997</v>
      </c>
      <c r="D22" s="14">
        <v>1E-3</v>
      </c>
      <c r="E22">
        <f t="shared" si="0"/>
        <v>-6299.5237492666629</v>
      </c>
      <c r="F22" s="67">
        <f>ROUND(2*E22,0)/2-0.5</f>
        <v>-6300</v>
      </c>
      <c r="G22">
        <f t="shared" si="1"/>
        <v>0.12419999999110587</v>
      </c>
      <c r="K22">
        <f t="shared" si="2"/>
        <v>0.12419999999110587</v>
      </c>
      <c r="O22">
        <f t="shared" ca="1" si="3"/>
        <v>0.13072195545299603</v>
      </c>
      <c r="Q22" s="2">
        <f t="shared" si="4"/>
        <v>36330.320099999997</v>
      </c>
      <c r="U22" s="9"/>
    </row>
    <row r="23" spans="1:21" x14ac:dyDescent="0.2">
      <c r="A23" s="12" t="s">
        <v>35</v>
      </c>
      <c r="B23" s="13" t="s">
        <v>29</v>
      </c>
      <c r="C23" s="14">
        <v>52655.5242</v>
      </c>
      <c r="D23" s="14">
        <v>1E-3</v>
      </c>
      <c r="E23">
        <f t="shared" si="0"/>
        <v>-1288.9055052590904</v>
      </c>
      <c r="F23">
        <f t="shared" ref="F23:F66" si="5">ROUND(2*E23,0)/2</f>
        <v>-1289</v>
      </c>
      <c r="G23">
        <f t="shared" si="1"/>
        <v>2.4642999997013249E-2</v>
      </c>
      <c r="K23">
        <f t="shared" si="2"/>
        <v>2.4642999997013249E-2</v>
      </c>
      <c r="O23">
        <f t="shared" ca="1" si="3"/>
        <v>2.7295530861329641E-2</v>
      </c>
      <c r="Q23" s="2">
        <f t="shared" si="4"/>
        <v>37637.0242</v>
      </c>
    </row>
    <row r="24" spans="1:21" x14ac:dyDescent="0.2">
      <c r="A24" s="12" t="s">
        <v>35</v>
      </c>
      <c r="B24" s="13" t="s">
        <v>29</v>
      </c>
      <c r="C24" s="14">
        <v>52691.511200000001</v>
      </c>
      <c r="D24" s="14">
        <v>1.6000000000000001E-3</v>
      </c>
      <c r="E24">
        <f t="shared" si="0"/>
        <v>-1150.9116635415164</v>
      </c>
      <c r="F24">
        <f t="shared" si="5"/>
        <v>-1151</v>
      </c>
      <c r="G24">
        <f t="shared" si="1"/>
        <v>2.3036999999021646E-2</v>
      </c>
      <c r="K24">
        <f t="shared" si="2"/>
        <v>2.3036999999021646E-2</v>
      </c>
      <c r="O24">
        <f t="shared" ca="1" si="3"/>
        <v>2.4447227809314086E-2</v>
      </c>
      <c r="Q24" s="2">
        <f t="shared" si="4"/>
        <v>37673.011200000001</v>
      </c>
    </row>
    <row r="25" spans="1:21" x14ac:dyDescent="0.2">
      <c r="A25" s="12" t="s">
        <v>35</v>
      </c>
      <c r="B25" s="13" t="s">
        <v>30</v>
      </c>
      <c r="C25" s="14">
        <v>52691.642899999999</v>
      </c>
      <c r="D25" s="14">
        <v>1.8E-3</v>
      </c>
      <c r="E25">
        <f t="shared" si="0"/>
        <v>-1150.4066537059109</v>
      </c>
      <c r="F25">
        <f t="shared" si="5"/>
        <v>-1150.5</v>
      </c>
      <c r="G25">
        <f t="shared" si="1"/>
        <v>2.4343499993847217E-2</v>
      </c>
      <c r="K25">
        <f t="shared" si="2"/>
        <v>2.4343499993847217E-2</v>
      </c>
      <c r="O25">
        <f t="shared" ca="1" si="3"/>
        <v>2.4436907870719827E-2</v>
      </c>
      <c r="Q25" s="2">
        <f t="shared" si="4"/>
        <v>37673.142899999999</v>
      </c>
    </row>
    <row r="26" spans="1:21" x14ac:dyDescent="0.2">
      <c r="A26" s="12" t="s">
        <v>35</v>
      </c>
      <c r="B26" s="13" t="s">
        <v>29</v>
      </c>
      <c r="C26" s="14">
        <v>52694.380100000002</v>
      </c>
      <c r="D26" s="14">
        <v>6.9999999999999999E-4</v>
      </c>
      <c r="E26">
        <f t="shared" si="0"/>
        <v>-1139.9107317465985</v>
      </c>
      <c r="F26">
        <f t="shared" si="5"/>
        <v>-1140</v>
      </c>
      <c r="G26">
        <f t="shared" si="1"/>
        <v>2.3280000001250301E-2</v>
      </c>
      <c r="K26">
        <f t="shared" si="2"/>
        <v>2.3280000001250301E-2</v>
      </c>
      <c r="O26">
        <f t="shared" ca="1" si="3"/>
        <v>2.4220189160240383E-2</v>
      </c>
      <c r="Q26" s="2">
        <f t="shared" si="4"/>
        <v>37675.880100000002</v>
      </c>
    </row>
    <row r="27" spans="1:21" x14ac:dyDescent="0.2">
      <c r="A27" s="12" t="s">
        <v>35</v>
      </c>
      <c r="B27" s="13" t="s">
        <v>30</v>
      </c>
      <c r="C27" s="14">
        <v>52694.509400000003</v>
      </c>
      <c r="D27" s="14">
        <v>4.0000000000000002E-4</v>
      </c>
      <c r="E27">
        <f t="shared" si="0"/>
        <v>-1139.4149248237054</v>
      </c>
      <c r="F27">
        <f t="shared" si="5"/>
        <v>-1139.5</v>
      </c>
      <c r="G27">
        <f t="shared" si="1"/>
        <v>2.2186499998497311E-2</v>
      </c>
      <c r="K27">
        <f t="shared" si="2"/>
        <v>2.2186499998497311E-2</v>
      </c>
      <c r="O27">
        <f t="shared" ca="1" si="3"/>
        <v>2.4209869221646124E-2</v>
      </c>
      <c r="Q27" s="2">
        <f t="shared" si="4"/>
        <v>37676.009400000003</v>
      </c>
    </row>
    <row r="28" spans="1:21" x14ac:dyDescent="0.2">
      <c r="A28" s="12" t="s">
        <v>35</v>
      </c>
      <c r="B28" s="13" t="s">
        <v>29</v>
      </c>
      <c r="C28" s="14">
        <v>52694.642</v>
      </c>
      <c r="D28" s="14">
        <v>8.0000000000000004E-4</v>
      </c>
      <c r="E28">
        <f t="shared" si="0"/>
        <v>-1138.9064638958325</v>
      </c>
      <c r="F28">
        <f t="shared" si="5"/>
        <v>-1139</v>
      </c>
      <c r="G28">
        <f t="shared" si="1"/>
        <v>2.4392999999690801E-2</v>
      </c>
      <c r="K28">
        <f t="shared" si="2"/>
        <v>2.4392999999690801E-2</v>
      </c>
      <c r="O28">
        <f t="shared" ca="1" si="3"/>
        <v>2.4199549283051864E-2</v>
      </c>
      <c r="Q28" s="2">
        <f t="shared" si="4"/>
        <v>37676.142</v>
      </c>
    </row>
    <row r="29" spans="1:21" x14ac:dyDescent="0.2">
      <c r="A29" s="12" t="s">
        <v>35</v>
      </c>
      <c r="B29" s="13" t="s">
        <v>30</v>
      </c>
      <c r="C29" s="14">
        <v>52721.368900000001</v>
      </c>
      <c r="D29" s="14">
        <v>5.0000000000000001E-4</v>
      </c>
      <c r="E29">
        <f t="shared" si="0"/>
        <v>-1036.4209105515267</v>
      </c>
      <c r="F29">
        <f t="shared" si="5"/>
        <v>-1036.5</v>
      </c>
      <c r="G29">
        <f t="shared" si="1"/>
        <v>2.0625500001187902E-2</v>
      </c>
      <c r="K29">
        <f t="shared" si="2"/>
        <v>2.0625500001187902E-2</v>
      </c>
      <c r="O29">
        <f t="shared" ca="1" si="3"/>
        <v>2.2083961871228713E-2</v>
      </c>
      <c r="Q29" s="2">
        <f t="shared" si="4"/>
        <v>37702.868900000001</v>
      </c>
    </row>
    <row r="30" spans="1:21" x14ac:dyDescent="0.2">
      <c r="A30" s="12" t="s">
        <v>35</v>
      </c>
      <c r="B30" s="13" t="s">
        <v>29</v>
      </c>
      <c r="C30" s="14">
        <v>52723.324099999998</v>
      </c>
      <c r="D30" s="14">
        <v>8.0000000000000004E-4</v>
      </c>
      <c r="E30">
        <f t="shared" si="0"/>
        <v>-1028.9236043207839</v>
      </c>
      <c r="F30">
        <f t="shared" si="5"/>
        <v>-1029</v>
      </c>
      <c r="G30">
        <f t="shared" si="1"/>
        <v>1.9922999992559198E-2</v>
      </c>
      <c r="K30">
        <f t="shared" si="2"/>
        <v>1.9922999992559198E-2</v>
      </c>
      <c r="O30">
        <f t="shared" ca="1" si="3"/>
        <v>2.1929162792314823E-2</v>
      </c>
      <c r="Q30" s="2">
        <f t="shared" si="4"/>
        <v>37704.824099999998</v>
      </c>
    </row>
    <row r="31" spans="1:21" x14ac:dyDescent="0.2">
      <c r="A31" s="12" t="s">
        <v>35</v>
      </c>
      <c r="B31" s="13" t="s">
        <v>30</v>
      </c>
      <c r="C31" s="14">
        <v>52723.454100000003</v>
      </c>
      <c r="D31" s="14">
        <v>1.1999999999999999E-3</v>
      </c>
      <c r="E31">
        <f t="shared" si="0"/>
        <v>-1028.4251132149977</v>
      </c>
      <c r="F31">
        <f t="shared" si="5"/>
        <v>-1028.5</v>
      </c>
      <c r="G31">
        <f t="shared" si="1"/>
        <v>1.9529500001226552E-2</v>
      </c>
      <c r="K31">
        <f t="shared" si="2"/>
        <v>1.9529500001226552E-2</v>
      </c>
      <c r="O31">
        <f t="shared" ca="1" si="3"/>
        <v>2.1918842853720564E-2</v>
      </c>
      <c r="Q31" s="2">
        <f t="shared" si="4"/>
        <v>37704.954100000003</v>
      </c>
    </row>
    <row r="32" spans="1:21" x14ac:dyDescent="0.2">
      <c r="A32" s="12" t="s">
        <v>35</v>
      </c>
      <c r="B32" s="13" t="s">
        <v>29</v>
      </c>
      <c r="C32" s="14">
        <v>52723.585599999999</v>
      </c>
      <c r="D32" s="14">
        <v>1.2999999999999999E-3</v>
      </c>
      <c r="E32">
        <f t="shared" si="0"/>
        <v>-1027.920870288794</v>
      </c>
      <c r="F32">
        <f t="shared" si="5"/>
        <v>-1028</v>
      </c>
      <c r="G32">
        <f t="shared" si="1"/>
        <v>2.0635999993828591E-2</v>
      </c>
      <c r="K32">
        <f t="shared" si="2"/>
        <v>2.0635999993828591E-2</v>
      </c>
      <c r="O32">
        <f t="shared" ca="1" si="3"/>
        <v>2.1908522915126304E-2</v>
      </c>
      <c r="Q32" s="2">
        <f t="shared" si="4"/>
        <v>37705.085599999999</v>
      </c>
    </row>
    <row r="33" spans="1:21" x14ac:dyDescent="0.2">
      <c r="A33" s="29" t="s">
        <v>37</v>
      </c>
      <c r="B33" s="28" t="s">
        <v>30</v>
      </c>
      <c r="C33" s="29">
        <v>52813.417999999998</v>
      </c>
      <c r="D33" s="29">
        <v>8.0000000000000002E-3</v>
      </c>
      <c r="E33">
        <f t="shared" si="0"/>
        <v>-683.45431329017333</v>
      </c>
      <c r="F33">
        <f t="shared" si="5"/>
        <v>-683.5</v>
      </c>
      <c r="G33">
        <f t="shared" si="1"/>
        <v>1.1914499998965766E-2</v>
      </c>
      <c r="I33">
        <f>+G33</f>
        <v>1.1914499998965766E-2</v>
      </c>
      <c r="O33">
        <f t="shared" ca="1" si="3"/>
        <v>1.4798085223681669E-2</v>
      </c>
      <c r="Q33" s="2">
        <f t="shared" si="4"/>
        <v>37794.917999999998</v>
      </c>
    </row>
    <row r="34" spans="1:21" x14ac:dyDescent="0.2">
      <c r="A34" s="29" t="s">
        <v>37</v>
      </c>
      <c r="B34" s="28" t="s">
        <v>29</v>
      </c>
      <c r="C34" s="29">
        <v>52813.56</v>
      </c>
      <c r="D34" s="29">
        <v>5.0000000000000001E-3</v>
      </c>
      <c r="E34">
        <f t="shared" si="0"/>
        <v>-682.9098076207963</v>
      </c>
      <c r="F34">
        <f t="shared" si="5"/>
        <v>-683</v>
      </c>
      <c r="G34">
        <f t="shared" si="1"/>
        <v>2.3520999995525926E-2</v>
      </c>
      <c r="I34">
        <f>+G34</f>
        <v>2.3520999995525926E-2</v>
      </c>
      <c r="O34">
        <f t="shared" ca="1" si="3"/>
        <v>1.4787765285087412E-2</v>
      </c>
      <c r="Q34" s="2">
        <f t="shared" si="4"/>
        <v>37795.06</v>
      </c>
    </row>
    <row r="35" spans="1:21" x14ac:dyDescent="0.2">
      <c r="A35" s="29" t="s">
        <v>37</v>
      </c>
      <c r="B35" s="28" t="s">
        <v>30</v>
      </c>
      <c r="C35" s="29">
        <v>52814.464999999997</v>
      </c>
      <c r="D35" s="29">
        <v>5.0000000000000001E-3</v>
      </c>
      <c r="E35">
        <f t="shared" si="0"/>
        <v>-679.43954261525982</v>
      </c>
      <c r="F35">
        <f t="shared" si="5"/>
        <v>-679.5</v>
      </c>
      <c r="G35">
        <f t="shared" si="1"/>
        <v>1.5766499993333127E-2</v>
      </c>
      <c r="I35">
        <f>+G35</f>
        <v>1.5766499993333127E-2</v>
      </c>
      <c r="O35">
        <f t="shared" ca="1" si="3"/>
        <v>1.4715525714927596E-2</v>
      </c>
      <c r="Q35" s="2">
        <f t="shared" si="4"/>
        <v>37795.964999999997</v>
      </c>
    </row>
    <row r="36" spans="1:21" x14ac:dyDescent="0.2">
      <c r="A36" s="34" t="s">
        <v>28</v>
      </c>
      <c r="B36" s="35" t="s">
        <v>29</v>
      </c>
      <c r="C36" s="34">
        <v>52991.654000000002</v>
      </c>
      <c r="D36" s="34">
        <v>6.0000000000000001E-3</v>
      </c>
      <c r="E36">
        <f t="shared" si="0"/>
        <v>0</v>
      </c>
      <c r="F36">
        <f t="shared" si="5"/>
        <v>0</v>
      </c>
      <c r="G36">
        <f t="shared" si="1"/>
        <v>0</v>
      </c>
      <c r="L36" s="33"/>
      <c r="M36" s="33"/>
      <c r="N36">
        <f>+G36</f>
        <v>0</v>
      </c>
      <c r="O36">
        <f t="shared" ca="1" si="3"/>
        <v>6.9072916532925133E-4</v>
      </c>
      <c r="Q36" s="2">
        <f t="shared" si="4"/>
        <v>37973.154000000002</v>
      </c>
    </row>
    <row r="37" spans="1:21" x14ac:dyDescent="0.2">
      <c r="A37" s="34" t="s">
        <v>28</v>
      </c>
      <c r="B37" s="35" t="s">
        <v>29</v>
      </c>
      <c r="C37" s="34">
        <v>53035.726000000002</v>
      </c>
      <c r="D37" s="36">
        <v>4.0000000000000001E-3</v>
      </c>
      <c r="E37">
        <f t="shared" si="0"/>
        <v>168.9961539493921</v>
      </c>
      <c r="F37">
        <f t="shared" si="5"/>
        <v>169</v>
      </c>
      <c r="G37">
        <f t="shared" si="1"/>
        <v>-1.0029999975813553E-3</v>
      </c>
      <c r="K37">
        <f>+G37</f>
        <v>-1.0029999975813553E-3</v>
      </c>
      <c r="O37">
        <f t="shared" ca="1" si="3"/>
        <v>-2.7974100795303812E-3</v>
      </c>
      <c r="Q37" s="2">
        <f t="shared" si="4"/>
        <v>38017.226000000002</v>
      </c>
    </row>
    <row r="38" spans="1:21" x14ac:dyDescent="0.2">
      <c r="A38" s="34" t="s">
        <v>28</v>
      </c>
      <c r="B38" s="35" t="s">
        <v>30</v>
      </c>
      <c r="C38" s="34">
        <v>53036.635000000002</v>
      </c>
      <c r="D38" s="36">
        <v>4.0000000000000001E-3</v>
      </c>
      <c r="E38">
        <f t="shared" si="0"/>
        <v>172.48175714280148</v>
      </c>
      <c r="F38">
        <f t="shared" si="5"/>
        <v>172.5</v>
      </c>
      <c r="G38">
        <f t="shared" si="1"/>
        <v>-4.757499998959247E-3</v>
      </c>
      <c r="K38">
        <f>+G38</f>
        <v>-4.757499998959247E-3</v>
      </c>
      <c r="O38">
        <f t="shared" ca="1" si="3"/>
        <v>-2.8696496496901959E-3</v>
      </c>
      <c r="Q38" s="2">
        <f t="shared" si="4"/>
        <v>38018.135000000002</v>
      </c>
    </row>
    <row r="39" spans="1:21" x14ac:dyDescent="0.2">
      <c r="A39" s="34" t="s">
        <v>28</v>
      </c>
      <c r="B39" s="35" t="s">
        <v>29</v>
      </c>
      <c r="C39" s="34">
        <v>53045.447800000002</v>
      </c>
      <c r="D39" s="36">
        <v>4.0000000000000002E-4</v>
      </c>
      <c r="E39">
        <f t="shared" si="0"/>
        <v>206.27485265753072</v>
      </c>
      <c r="F39">
        <f t="shared" si="5"/>
        <v>206.5</v>
      </c>
      <c r="O39">
        <f t="shared" ca="1" si="3"/>
        <v>-3.571405474099826E-3</v>
      </c>
      <c r="Q39" s="2">
        <f t="shared" si="4"/>
        <v>38026.947800000002</v>
      </c>
      <c r="U39" s="9">
        <v>-5.8715500003017951E-2</v>
      </c>
    </row>
    <row r="40" spans="1:21" x14ac:dyDescent="0.2">
      <c r="A40" s="34" t="s">
        <v>28</v>
      </c>
      <c r="B40" s="35" t="s">
        <v>30</v>
      </c>
      <c r="C40" s="34">
        <v>53045.500999999997</v>
      </c>
      <c r="D40" s="36">
        <v>1.6999999999999999E-3</v>
      </c>
      <c r="E40">
        <f t="shared" si="0"/>
        <v>206.47885055617917</v>
      </c>
      <c r="F40">
        <f t="shared" si="5"/>
        <v>206.5</v>
      </c>
      <c r="G40">
        <f t="shared" ref="G40:G71" si="6">+C40-(C$7+F40*C$8)</f>
        <v>-5.5155000081867911E-3</v>
      </c>
      <c r="K40">
        <f t="shared" ref="K40:K54" si="7">+G40</f>
        <v>-5.5155000081867911E-3</v>
      </c>
      <c r="O40">
        <f t="shared" ca="1" si="3"/>
        <v>-3.571405474099826E-3</v>
      </c>
      <c r="Q40" s="2">
        <f t="shared" si="4"/>
        <v>38027.000999999997</v>
      </c>
    </row>
    <row r="41" spans="1:21" x14ac:dyDescent="0.2">
      <c r="A41" s="34" t="s">
        <v>28</v>
      </c>
      <c r="B41" s="35" t="s">
        <v>29</v>
      </c>
      <c r="C41" s="34">
        <v>53055.548000000003</v>
      </c>
      <c r="D41" s="36">
        <v>5.0000000000000001E-3</v>
      </c>
      <c r="E41">
        <f t="shared" si="0"/>
        <v>245.00454393815733</v>
      </c>
      <c r="F41">
        <f t="shared" si="5"/>
        <v>245</v>
      </c>
      <c r="G41">
        <f t="shared" si="6"/>
        <v>1.1850000009872019E-3</v>
      </c>
      <c r="K41">
        <f t="shared" si="7"/>
        <v>1.1850000009872019E-3</v>
      </c>
      <c r="O41">
        <f t="shared" ca="1" si="3"/>
        <v>-4.3660407458577894E-3</v>
      </c>
      <c r="Q41" s="2">
        <f t="shared" si="4"/>
        <v>38037.048000000003</v>
      </c>
    </row>
    <row r="42" spans="1:21" x14ac:dyDescent="0.2">
      <c r="A42" s="34" t="s">
        <v>28</v>
      </c>
      <c r="B42" s="35" t="s">
        <v>30</v>
      </c>
      <c r="C42" s="34">
        <v>53055.675000000003</v>
      </c>
      <c r="D42" s="36">
        <v>2E-3</v>
      </c>
      <c r="E42">
        <f t="shared" si="0"/>
        <v>245.49153140302485</v>
      </c>
      <c r="F42">
        <f t="shared" si="5"/>
        <v>245.5</v>
      </c>
      <c r="G42">
        <f t="shared" si="6"/>
        <v>-2.2085000018705614E-3</v>
      </c>
      <c r="K42">
        <f t="shared" si="7"/>
        <v>-2.2085000018705614E-3</v>
      </c>
      <c r="O42">
        <f t="shared" ca="1" si="3"/>
        <v>-4.376360684452049E-3</v>
      </c>
      <c r="Q42" s="2">
        <f t="shared" si="4"/>
        <v>38037.175000000003</v>
      </c>
    </row>
    <row r="43" spans="1:21" x14ac:dyDescent="0.2">
      <c r="A43" s="34" t="s">
        <v>28</v>
      </c>
      <c r="B43" s="35" t="s">
        <v>29</v>
      </c>
      <c r="C43" s="34">
        <v>53060.5</v>
      </c>
      <c r="D43" s="36">
        <v>2E-3</v>
      </c>
      <c r="E43">
        <f t="shared" si="0"/>
        <v>263.99322052095283</v>
      </c>
      <c r="F43">
        <f t="shared" si="5"/>
        <v>264</v>
      </c>
      <c r="G43">
        <f t="shared" si="6"/>
        <v>-1.768000001902692E-3</v>
      </c>
      <c r="K43">
        <f t="shared" si="7"/>
        <v>-1.768000001902692E-3</v>
      </c>
      <c r="O43">
        <f t="shared" ca="1" si="3"/>
        <v>-4.7581984124396423E-3</v>
      </c>
      <c r="Q43" s="2">
        <f t="shared" si="4"/>
        <v>38042</v>
      </c>
    </row>
    <row r="44" spans="1:21" x14ac:dyDescent="0.2">
      <c r="A44" s="34" t="s">
        <v>28</v>
      </c>
      <c r="B44" s="35" t="s">
        <v>29</v>
      </c>
      <c r="C44" s="34">
        <v>53063.63</v>
      </c>
      <c r="D44" s="36">
        <v>3.0000000000000001E-3</v>
      </c>
      <c r="E44">
        <f t="shared" si="0"/>
        <v>275.99535252905673</v>
      </c>
      <c r="F44">
        <f t="shared" si="5"/>
        <v>276</v>
      </c>
      <c r="G44">
        <f t="shared" si="6"/>
        <v>-1.2120000028517097E-3</v>
      </c>
      <c r="K44">
        <f t="shared" si="7"/>
        <v>-1.2120000028517097E-3</v>
      </c>
      <c r="O44">
        <f t="shared" ca="1" si="3"/>
        <v>-5.0058769387018648E-3</v>
      </c>
      <c r="Q44" s="2">
        <f t="shared" si="4"/>
        <v>38045.129999999997</v>
      </c>
    </row>
    <row r="45" spans="1:21" x14ac:dyDescent="0.2">
      <c r="A45" s="34" t="s">
        <v>28</v>
      </c>
      <c r="B45" s="35" t="s">
        <v>29</v>
      </c>
      <c r="C45" s="34">
        <v>53079.531999999999</v>
      </c>
      <c r="D45" s="36">
        <v>2E-3</v>
      </c>
      <c r="E45">
        <f t="shared" si="0"/>
        <v>336.97231840543037</v>
      </c>
      <c r="F45">
        <f t="shared" si="5"/>
        <v>337</v>
      </c>
      <c r="G45">
        <f t="shared" si="6"/>
        <v>-7.2190000064438209E-3</v>
      </c>
      <c r="K45">
        <f t="shared" si="7"/>
        <v>-7.2190000064438209E-3</v>
      </c>
      <c r="O45">
        <f t="shared" ca="1" si="3"/>
        <v>-6.2649094472014954E-3</v>
      </c>
      <c r="Q45" s="2">
        <f t="shared" si="4"/>
        <v>38061.031999999999</v>
      </c>
    </row>
    <row r="46" spans="1:21" x14ac:dyDescent="0.2">
      <c r="A46" s="34" t="s">
        <v>28</v>
      </c>
      <c r="B46" s="35" t="s">
        <v>29</v>
      </c>
      <c r="C46" s="34">
        <v>53110.565000000002</v>
      </c>
      <c r="D46" s="36">
        <v>3.0000000000000001E-3</v>
      </c>
      <c r="E46">
        <f t="shared" si="0"/>
        <v>455.96981444627249</v>
      </c>
      <c r="F46">
        <f t="shared" si="5"/>
        <v>456</v>
      </c>
      <c r="G46">
        <f t="shared" si="6"/>
        <v>-7.8720000019529834E-3</v>
      </c>
      <c r="K46">
        <f t="shared" si="7"/>
        <v>-7.8720000019529834E-3</v>
      </c>
      <c r="O46">
        <f t="shared" ca="1" si="3"/>
        <v>-8.721054832635201E-3</v>
      </c>
      <c r="Q46" s="2">
        <f t="shared" si="4"/>
        <v>38092.065000000002</v>
      </c>
    </row>
    <row r="47" spans="1:21" x14ac:dyDescent="0.2">
      <c r="A47" s="34" t="s">
        <v>28</v>
      </c>
      <c r="B47" s="35" t="s">
        <v>29</v>
      </c>
      <c r="C47" s="34">
        <v>53111.61</v>
      </c>
      <c r="D47" s="36">
        <v>3.0000000000000001E-3</v>
      </c>
      <c r="E47">
        <f t="shared" si="0"/>
        <v>459.9769160272495</v>
      </c>
      <c r="F47">
        <f t="shared" si="5"/>
        <v>460</v>
      </c>
      <c r="G47">
        <f t="shared" si="6"/>
        <v>-6.0200000007171184E-3</v>
      </c>
      <c r="K47">
        <f t="shared" si="7"/>
        <v>-6.0200000007171184E-3</v>
      </c>
      <c r="O47">
        <f t="shared" ca="1" si="3"/>
        <v>-8.803614341389274E-3</v>
      </c>
      <c r="Q47" s="2">
        <f t="shared" si="4"/>
        <v>38093.11</v>
      </c>
    </row>
    <row r="48" spans="1:21" x14ac:dyDescent="0.2">
      <c r="A48" s="34" t="s">
        <v>28</v>
      </c>
      <c r="B48" s="35" t="s">
        <v>30</v>
      </c>
      <c r="C48" s="34">
        <v>53112.521999999997</v>
      </c>
      <c r="D48" s="36">
        <v>4.0000000000000001E-3</v>
      </c>
      <c r="E48">
        <f t="shared" si="0"/>
        <v>463.4740228615496</v>
      </c>
      <c r="F48">
        <f t="shared" si="5"/>
        <v>463.5</v>
      </c>
      <c r="G48">
        <f t="shared" si="6"/>
        <v>-6.7745000051218085E-3</v>
      </c>
      <c r="K48">
        <f t="shared" si="7"/>
        <v>-6.7745000051218085E-3</v>
      </c>
      <c r="O48">
        <f t="shared" ca="1" si="3"/>
        <v>-8.8758539115490892E-3</v>
      </c>
      <c r="Q48" s="2">
        <f t="shared" si="4"/>
        <v>38094.021999999997</v>
      </c>
    </row>
    <row r="49" spans="1:17" x14ac:dyDescent="0.2">
      <c r="A49" s="34" t="s">
        <v>28</v>
      </c>
      <c r="B49" s="35" t="s">
        <v>29</v>
      </c>
      <c r="C49" s="34">
        <v>53117.482000000004</v>
      </c>
      <c r="D49" s="36">
        <v>3.0000000000000001E-3</v>
      </c>
      <c r="E49">
        <f t="shared" si="0"/>
        <v>482.4933758201189</v>
      </c>
      <c r="F49">
        <f t="shared" si="5"/>
        <v>482.5</v>
      </c>
      <c r="G49">
        <f t="shared" si="6"/>
        <v>-1.7274999991059303E-3</v>
      </c>
      <c r="K49">
        <f t="shared" si="7"/>
        <v>-1.7274999991059303E-3</v>
      </c>
      <c r="O49">
        <f t="shared" ca="1" si="3"/>
        <v>-9.268011578130942E-3</v>
      </c>
      <c r="Q49" s="2">
        <f t="shared" si="4"/>
        <v>38098.982000000004</v>
      </c>
    </row>
    <row r="50" spans="1:17" x14ac:dyDescent="0.2">
      <c r="A50" s="34" t="s">
        <v>28</v>
      </c>
      <c r="B50" s="35" t="s">
        <v>29</v>
      </c>
      <c r="C50" s="34">
        <v>53117.605000000003</v>
      </c>
      <c r="D50" s="36">
        <v>3.0000000000000001E-3</v>
      </c>
      <c r="E50">
        <f t="shared" si="0"/>
        <v>482.96502509711348</v>
      </c>
      <c r="F50">
        <f t="shared" si="5"/>
        <v>483</v>
      </c>
      <c r="G50">
        <f t="shared" si="6"/>
        <v>-9.1209999955026433E-3</v>
      </c>
      <c r="K50">
        <f t="shared" si="7"/>
        <v>-9.1209999955026433E-3</v>
      </c>
      <c r="O50">
        <f t="shared" ca="1" si="3"/>
        <v>-9.2783315167252016E-3</v>
      </c>
      <c r="Q50" s="2">
        <f t="shared" si="4"/>
        <v>38099.105000000003</v>
      </c>
    </row>
    <row r="51" spans="1:17" x14ac:dyDescent="0.2">
      <c r="A51" s="34" t="s">
        <v>28</v>
      </c>
      <c r="B51" s="35" t="s">
        <v>29</v>
      </c>
      <c r="C51" s="34">
        <v>53120.472000000002</v>
      </c>
      <c r="D51" s="36">
        <v>3.0000000000000001E-3</v>
      </c>
      <c r="E51">
        <f t="shared" si="0"/>
        <v>493.95867125278215</v>
      </c>
      <c r="F51">
        <f t="shared" si="5"/>
        <v>494</v>
      </c>
      <c r="G51">
        <f t="shared" si="6"/>
        <v>-1.0778000003483612E-2</v>
      </c>
      <c r="K51">
        <f t="shared" si="7"/>
        <v>-1.0778000003483612E-2</v>
      </c>
      <c r="O51">
        <f t="shared" ca="1" si="3"/>
        <v>-9.505370165798905E-3</v>
      </c>
      <c r="Q51" s="2">
        <f t="shared" si="4"/>
        <v>38101.972000000002</v>
      </c>
    </row>
    <row r="52" spans="1:17" x14ac:dyDescent="0.2">
      <c r="A52" s="34" t="s">
        <v>28</v>
      </c>
      <c r="B52" s="35" t="s">
        <v>30</v>
      </c>
      <c r="C52" s="34">
        <v>53121.387999999999</v>
      </c>
      <c r="D52" s="36">
        <v>4.0000000000000001E-3</v>
      </c>
      <c r="E52">
        <f t="shared" si="0"/>
        <v>497.47111627495519</v>
      </c>
      <c r="F52">
        <f t="shared" si="5"/>
        <v>497.5</v>
      </c>
      <c r="G52">
        <f t="shared" si="6"/>
        <v>-7.5324999997974373E-3</v>
      </c>
      <c r="K52">
        <f t="shared" si="7"/>
        <v>-7.5324999997974373E-3</v>
      </c>
      <c r="O52">
        <f t="shared" ca="1" si="3"/>
        <v>-9.5776097359587201E-3</v>
      </c>
      <c r="Q52" s="2">
        <f t="shared" si="4"/>
        <v>38102.887999999999</v>
      </c>
    </row>
    <row r="53" spans="1:17" x14ac:dyDescent="0.2">
      <c r="A53" s="34" t="s">
        <v>28</v>
      </c>
      <c r="B53" s="35" t="s">
        <v>29</v>
      </c>
      <c r="C53" s="34">
        <v>53137.425000000003</v>
      </c>
      <c r="D53" s="36">
        <v>3.0000000000000001E-3</v>
      </c>
      <c r="E53">
        <f t="shared" ref="E53:E88" si="8">+(C53-C$7)/C$8</f>
        <v>558.9657459919423</v>
      </c>
      <c r="F53">
        <f t="shared" si="5"/>
        <v>559</v>
      </c>
      <c r="G53">
        <f t="shared" si="6"/>
        <v>-8.9329999973415397E-3</v>
      </c>
      <c r="K53">
        <f t="shared" si="7"/>
        <v>-8.9329999973415397E-3</v>
      </c>
      <c r="O53">
        <f t="shared" ref="O53:O88" ca="1" si="9">+C$11+C$12*$F53</f>
        <v>-1.0846962183052609E-2</v>
      </c>
      <c r="Q53" s="2">
        <f t="shared" ref="Q53:Q88" si="10">+C53-15018.5</f>
        <v>38118.925000000003</v>
      </c>
    </row>
    <row r="54" spans="1:17" x14ac:dyDescent="0.2">
      <c r="A54" s="34" t="s">
        <v>28</v>
      </c>
      <c r="B54" s="35" t="s">
        <v>29</v>
      </c>
      <c r="C54" s="34">
        <v>53150.464999999997</v>
      </c>
      <c r="D54" s="36">
        <v>3.0000000000000001E-3</v>
      </c>
      <c r="E54">
        <f t="shared" si="8"/>
        <v>608.96823844744654</v>
      </c>
      <c r="F54">
        <f t="shared" si="5"/>
        <v>609</v>
      </c>
      <c r="G54">
        <f t="shared" si="6"/>
        <v>-8.2830000028479844E-3</v>
      </c>
      <c r="K54">
        <f t="shared" si="7"/>
        <v>-8.2830000028479844E-3</v>
      </c>
      <c r="O54">
        <f t="shared" ca="1" si="9"/>
        <v>-1.1878956042478536E-2</v>
      </c>
      <c r="Q54" s="2">
        <f t="shared" si="10"/>
        <v>38131.964999999997</v>
      </c>
    </row>
    <row r="55" spans="1:17" x14ac:dyDescent="0.2">
      <c r="A55" s="37" t="s">
        <v>54</v>
      </c>
      <c r="B55" s="38" t="s">
        <v>29</v>
      </c>
      <c r="C55" s="37">
        <v>53203.396000000001</v>
      </c>
      <c r="D55" s="37">
        <v>2E-3</v>
      </c>
      <c r="E55">
        <f t="shared" si="8"/>
        <v>811.93464398148058</v>
      </c>
      <c r="F55">
        <f t="shared" si="5"/>
        <v>812</v>
      </c>
      <c r="G55">
        <f t="shared" si="6"/>
        <v>-1.7044000000169035E-2</v>
      </c>
      <c r="I55">
        <f t="shared" ref="I55:I63" si="11">+G55</f>
        <v>-1.7044000000169035E-2</v>
      </c>
      <c r="K55" s="33"/>
      <c r="L55" s="33"/>
      <c r="M55" s="33"/>
      <c r="O55">
        <f t="shared" ca="1" si="9"/>
        <v>-1.6068851111747801E-2</v>
      </c>
      <c r="Q55" s="2">
        <f t="shared" si="10"/>
        <v>38184.896000000001</v>
      </c>
    </row>
    <row r="56" spans="1:17" x14ac:dyDescent="0.2">
      <c r="A56" s="37" t="s">
        <v>54</v>
      </c>
      <c r="B56" s="38" t="s">
        <v>30</v>
      </c>
      <c r="C56" s="37">
        <v>53369.641000000003</v>
      </c>
      <c r="D56" s="37">
        <v>3.0000000000000001E-3</v>
      </c>
      <c r="E56">
        <f t="shared" si="8"/>
        <v>1449.4089045849717</v>
      </c>
      <c r="F56">
        <f t="shared" si="5"/>
        <v>1449.5</v>
      </c>
      <c r="G56">
        <f t="shared" si="6"/>
        <v>-2.3756499998853542E-2</v>
      </c>
      <c r="I56">
        <f t="shared" si="11"/>
        <v>-2.3756499998853542E-2</v>
      </c>
      <c r="K56" s="33"/>
      <c r="L56" s="33"/>
      <c r="M56" s="33"/>
      <c r="O56">
        <f t="shared" ca="1" si="9"/>
        <v>-2.9226772819428367E-2</v>
      </c>
      <c r="Q56" s="2">
        <f t="shared" si="10"/>
        <v>38351.141000000003</v>
      </c>
    </row>
    <row r="57" spans="1:17" x14ac:dyDescent="0.2">
      <c r="A57" s="40" t="s">
        <v>54</v>
      </c>
      <c r="B57" s="41" t="s">
        <v>30</v>
      </c>
      <c r="C57" s="40">
        <v>53374.595000000001</v>
      </c>
      <c r="D57" s="40">
        <v>4.0000000000000001E-3</v>
      </c>
      <c r="E57">
        <f t="shared" si="8"/>
        <v>1468.4052502617037</v>
      </c>
      <c r="F57">
        <f t="shared" si="5"/>
        <v>1468.5</v>
      </c>
      <c r="G57">
        <f t="shared" si="6"/>
        <v>-2.4709500001335982E-2</v>
      </c>
      <c r="I57">
        <f t="shared" si="11"/>
        <v>-2.4709500001335982E-2</v>
      </c>
      <c r="K57" s="33"/>
      <c r="L57" s="33"/>
      <c r="M57" s="33"/>
      <c r="O57">
        <f t="shared" ca="1" si="9"/>
        <v>-2.9618930486010216E-2</v>
      </c>
      <c r="Q57" s="2">
        <f t="shared" si="10"/>
        <v>38356.095000000001</v>
      </c>
    </row>
    <row r="58" spans="1:17" x14ac:dyDescent="0.2">
      <c r="A58" s="40" t="s">
        <v>54</v>
      </c>
      <c r="B58" s="41" t="s">
        <v>29</v>
      </c>
      <c r="C58" s="40">
        <v>53384.627</v>
      </c>
      <c r="D58" s="40">
        <v>2E-3</v>
      </c>
      <c r="E58">
        <f t="shared" si="8"/>
        <v>1506.8734254391445</v>
      </c>
      <c r="F58">
        <f t="shared" si="5"/>
        <v>1507</v>
      </c>
      <c r="G58">
        <f t="shared" si="6"/>
        <v>-3.300899999885587E-2</v>
      </c>
      <c r="I58">
        <f t="shared" si="11"/>
        <v>-3.300899999885587E-2</v>
      </c>
      <c r="K58" s="33"/>
      <c r="L58" s="33"/>
      <c r="M58" s="33"/>
      <c r="O58">
        <f t="shared" ca="1" si="9"/>
        <v>-3.0413565757768182E-2</v>
      </c>
      <c r="Q58" s="2">
        <f t="shared" si="10"/>
        <v>38366.127</v>
      </c>
    </row>
    <row r="59" spans="1:17" x14ac:dyDescent="0.2">
      <c r="A59" s="40" t="s">
        <v>54</v>
      </c>
      <c r="B59" s="41" t="s">
        <v>29</v>
      </c>
      <c r="C59" s="40">
        <v>53405.49</v>
      </c>
      <c r="D59" s="40">
        <v>3.0000000000000001E-3</v>
      </c>
      <c r="E59">
        <f t="shared" si="8"/>
        <v>1586.8735788210138</v>
      </c>
      <c r="F59">
        <f t="shared" si="5"/>
        <v>1587</v>
      </c>
      <c r="G59">
        <f t="shared" si="6"/>
        <v>-3.2969000007142313E-2</v>
      </c>
      <c r="I59">
        <f t="shared" si="11"/>
        <v>-3.2969000007142313E-2</v>
      </c>
      <c r="K59" s="33"/>
      <c r="L59" s="33"/>
      <c r="M59" s="33"/>
      <c r="O59">
        <f t="shared" ca="1" si="9"/>
        <v>-3.2064755932849666E-2</v>
      </c>
      <c r="Q59" s="2">
        <f t="shared" si="10"/>
        <v>38386.99</v>
      </c>
    </row>
    <row r="60" spans="1:17" x14ac:dyDescent="0.2">
      <c r="A60" s="40" t="s">
        <v>54</v>
      </c>
      <c r="B60" s="41" t="s">
        <v>30</v>
      </c>
      <c r="C60" s="40">
        <v>53408.491999999998</v>
      </c>
      <c r="D60" s="40">
        <v>4.0000000000000001E-3</v>
      </c>
      <c r="E60">
        <f t="shared" si="8"/>
        <v>1598.3848888172959</v>
      </c>
      <c r="F60">
        <f t="shared" si="5"/>
        <v>1598.5</v>
      </c>
      <c r="G60">
        <f t="shared" si="6"/>
        <v>-3.0019500001799315E-2</v>
      </c>
      <c r="I60">
        <f t="shared" si="11"/>
        <v>-3.0019500001799315E-2</v>
      </c>
      <c r="K60" s="33"/>
      <c r="L60" s="33"/>
      <c r="M60" s="33"/>
      <c r="O60">
        <f t="shared" ca="1" si="9"/>
        <v>-3.2302114520517629E-2</v>
      </c>
      <c r="Q60" s="2">
        <f t="shared" si="10"/>
        <v>38389.991999999998</v>
      </c>
    </row>
    <row r="61" spans="1:17" x14ac:dyDescent="0.2">
      <c r="A61" s="40" t="s">
        <v>54</v>
      </c>
      <c r="B61" s="41" t="s">
        <v>29</v>
      </c>
      <c r="C61" s="40">
        <v>53409.665000000001</v>
      </c>
      <c r="D61" s="40">
        <v>4.0000000000000001E-3</v>
      </c>
      <c r="E61">
        <f t="shared" si="8"/>
        <v>1602.8828124101226</v>
      </c>
      <c r="F61">
        <f t="shared" si="5"/>
        <v>1603</v>
      </c>
      <c r="G61">
        <f t="shared" si="6"/>
        <v>-3.0560999999579508E-2</v>
      </c>
      <c r="I61">
        <f t="shared" si="11"/>
        <v>-3.0560999999579508E-2</v>
      </c>
      <c r="K61" s="33"/>
      <c r="L61" s="33"/>
      <c r="M61" s="33"/>
      <c r="O61">
        <f t="shared" ca="1" si="9"/>
        <v>-3.2394993967865958E-2</v>
      </c>
      <c r="Q61" s="2">
        <f t="shared" si="10"/>
        <v>38391.165000000001</v>
      </c>
    </row>
    <row r="62" spans="1:17" x14ac:dyDescent="0.2">
      <c r="A62" s="40" t="s">
        <v>54</v>
      </c>
      <c r="B62" s="41" t="s">
        <v>30</v>
      </c>
      <c r="C62" s="40">
        <v>53430.656000000003</v>
      </c>
      <c r="D62" s="40">
        <v>5.0000000000000001E-3</v>
      </c>
      <c r="E62">
        <f t="shared" si="8"/>
        <v>1683.3737878038414</v>
      </c>
      <c r="F62">
        <f t="shared" si="5"/>
        <v>1683.5</v>
      </c>
      <c r="G62">
        <f t="shared" si="6"/>
        <v>-3.2914499999606051E-2</v>
      </c>
      <c r="I62">
        <f t="shared" si="11"/>
        <v>-3.2914499999606051E-2</v>
      </c>
      <c r="K62" s="33"/>
      <c r="L62" s="33"/>
      <c r="M62" s="33"/>
      <c r="O62">
        <f t="shared" ca="1" si="9"/>
        <v>-3.4056504081541705E-2</v>
      </c>
      <c r="Q62" s="2">
        <f t="shared" si="10"/>
        <v>38412.156000000003</v>
      </c>
    </row>
    <row r="63" spans="1:17" x14ac:dyDescent="0.2">
      <c r="A63" s="40" t="s">
        <v>54</v>
      </c>
      <c r="B63" s="41" t="s">
        <v>29</v>
      </c>
      <c r="C63" s="40">
        <v>53463.385000000002</v>
      </c>
      <c r="D63" s="40">
        <v>2E-3</v>
      </c>
      <c r="E63">
        <f t="shared" si="8"/>
        <v>1808.874675501462</v>
      </c>
      <c r="F63">
        <f t="shared" si="5"/>
        <v>1809</v>
      </c>
      <c r="G63">
        <f t="shared" si="6"/>
        <v>-3.2682999997632578E-2</v>
      </c>
      <c r="I63">
        <f t="shared" si="11"/>
        <v>-3.2682999997632578E-2</v>
      </c>
      <c r="K63" s="33"/>
      <c r="L63" s="33"/>
      <c r="M63" s="33"/>
      <c r="O63">
        <f t="shared" ca="1" si="9"/>
        <v>-3.6646808668700778E-2</v>
      </c>
      <c r="Q63" s="2">
        <f t="shared" si="10"/>
        <v>38444.885000000002</v>
      </c>
    </row>
    <row r="64" spans="1:17" x14ac:dyDescent="0.2">
      <c r="A64" s="42" t="s">
        <v>36</v>
      </c>
      <c r="B64" s="43" t="s">
        <v>30</v>
      </c>
      <c r="C64" s="42">
        <v>53491.414700000001</v>
      </c>
      <c r="D64" s="42">
        <v>1.1999999999999999E-3</v>
      </c>
      <c r="E64">
        <f t="shared" si="8"/>
        <v>1916.3558766349508</v>
      </c>
      <c r="F64">
        <f t="shared" si="5"/>
        <v>1916.5</v>
      </c>
      <c r="G64">
        <f t="shared" si="6"/>
        <v>-3.7585500002023764E-2</v>
      </c>
      <c r="K64">
        <f>+G64</f>
        <v>-3.7585500002023764E-2</v>
      </c>
      <c r="O64">
        <f t="shared" ca="1" si="9"/>
        <v>-3.8865595466466521E-2</v>
      </c>
      <c r="Q64" s="2">
        <f t="shared" si="10"/>
        <v>38472.914700000001</v>
      </c>
    </row>
    <row r="65" spans="1:17" x14ac:dyDescent="0.2">
      <c r="A65" s="42" t="s">
        <v>36</v>
      </c>
      <c r="B65" s="43" t="s">
        <v>29</v>
      </c>
      <c r="C65" s="42">
        <v>53491.5455</v>
      </c>
      <c r="D65" s="42">
        <v>8.9999999999999998E-4</v>
      </c>
      <c r="E65">
        <f t="shared" si="8"/>
        <v>1916.8574353782892</v>
      </c>
      <c r="F65">
        <f t="shared" si="5"/>
        <v>1917</v>
      </c>
      <c r="G65">
        <f t="shared" si="6"/>
        <v>-3.7178999999014195E-2</v>
      </c>
      <c r="K65">
        <f>+G65</f>
        <v>-3.7178999999014195E-2</v>
      </c>
      <c r="O65">
        <f t="shared" ca="1" si="9"/>
        <v>-3.8875915405060781E-2</v>
      </c>
      <c r="Q65" s="2">
        <f t="shared" si="10"/>
        <v>38473.0455</v>
      </c>
    </row>
    <row r="66" spans="1:17" x14ac:dyDescent="0.2">
      <c r="A66" s="44" t="s">
        <v>34</v>
      </c>
      <c r="B66" s="43" t="s">
        <v>29</v>
      </c>
      <c r="C66" s="42">
        <v>53809.419199999997</v>
      </c>
      <c r="D66" s="42">
        <v>1.8E-3</v>
      </c>
      <c r="E66">
        <f t="shared" si="8"/>
        <v>3135.7590677449198</v>
      </c>
      <c r="F66">
        <f t="shared" si="5"/>
        <v>3136</v>
      </c>
      <c r="G66">
        <f t="shared" si="6"/>
        <v>-6.2832000003254507E-2</v>
      </c>
      <c r="J66">
        <f>+G66</f>
        <v>-6.2832000003254507E-2</v>
      </c>
      <c r="O66">
        <f t="shared" ca="1" si="9"/>
        <v>-6.4035925697864871E-2</v>
      </c>
      <c r="Q66" s="2">
        <f t="shared" si="10"/>
        <v>38790.919199999997</v>
      </c>
    </row>
    <row r="67" spans="1:17" x14ac:dyDescent="0.2">
      <c r="A67" s="40" t="s">
        <v>44</v>
      </c>
      <c r="B67" s="43" t="s">
        <v>29</v>
      </c>
      <c r="C67" s="42">
        <v>54172.408300000003</v>
      </c>
      <c r="D67" s="42">
        <v>8.9999999999999998E-4</v>
      </c>
      <c r="E67">
        <f t="shared" si="8"/>
        <v>4527.657820366815</v>
      </c>
      <c r="F67" s="27">
        <f t="shared" ref="F67:F79" si="12">ROUND(2*E67,0)/2+0.5</f>
        <v>4528</v>
      </c>
      <c r="G67">
        <f t="shared" si="6"/>
        <v>-8.9235999999800697E-2</v>
      </c>
      <c r="K67">
        <f>+G67</f>
        <v>-8.9235999999800697E-2</v>
      </c>
      <c r="O67">
        <f t="shared" ca="1" si="9"/>
        <v>-9.2766634744282678E-2</v>
      </c>
      <c r="Q67" s="2">
        <f t="shared" si="10"/>
        <v>39153.908300000003</v>
      </c>
    </row>
    <row r="68" spans="1:17" x14ac:dyDescent="0.2">
      <c r="A68" s="45" t="s">
        <v>46</v>
      </c>
      <c r="B68" s="41"/>
      <c r="C68" s="42">
        <v>54554.817799999997</v>
      </c>
      <c r="D68" s="46">
        <v>1E-4</v>
      </c>
      <c r="E68">
        <f t="shared" si="8"/>
        <v>5994.0250089153024</v>
      </c>
      <c r="F68" s="27">
        <f t="shared" si="12"/>
        <v>5994.5</v>
      </c>
      <c r="G68">
        <f t="shared" si="6"/>
        <v>-0.12387150000722613</v>
      </c>
      <c r="K68">
        <f>+G68</f>
        <v>-0.12387150000722613</v>
      </c>
      <c r="O68">
        <f t="shared" ca="1" si="9"/>
        <v>-0.12303501464124511</v>
      </c>
      <c r="Q68" s="2">
        <f t="shared" si="10"/>
        <v>39536.317799999997</v>
      </c>
    </row>
    <row r="69" spans="1:17" x14ac:dyDescent="0.2">
      <c r="A69" s="45" t="s">
        <v>46</v>
      </c>
      <c r="B69" s="41"/>
      <c r="C69" s="40">
        <v>54817.017599999999</v>
      </c>
      <c r="D69" s="46">
        <v>2.0000000000000001E-4</v>
      </c>
      <c r="E69">
        <f t="shared" si="8"/>
        <v>6999.4424568709219</v>
      </c>
      <c r="F69" s="27">
        <f t="shared" si="12"/>
        <v>7000</v>
      </c>
      <c r="G69">
        <f t="shared" si="6"/>
        <v>-0.14540000000124564</v>
      </c>
      <c r="K69">
        <f>+G69</f>
        <v>-0.14540000000124564</v>
      </c>
      <c r="L69" s="33"/>
      <c r="M69" s="33"/>
      <c r="N69" s="33"/>
      <c r="O69">
        <f t="shared" ca="1" si="9"/>
        <v>-0.14378841115430049</v>
      </c>
      <c r="Q69" s="2">
        <f t="shared" si="10"/>
        <v>39798.517599999999</v>
      </c>
    </row>
    <row r="70" spans="1:17" x14ac:dyDescent="0.2">
      <c r="A70" s="64" t="s">
        <v>88</v>
      </c>
      <c r="B70" s="65" t="s">
        <v>29</v>
      </c>
      <c r="C70" s="64">
        <v>54972.434500000003</v>
      </c>
      <c r="D70" s="64" t="s">
        <v>67</v>
      </c>
      <c r="E70">
        <f t="shared" si="8"/>
        <v>7595.3958594561873</v>
      </c>
      <c r="F70" s="27">
        <f t="shared" si="12"/>
        <v>7596</v>
      </c>
      <c r="G70">
        <f t="shared" si="6"/>
        <v>-0.15755199999694014</v>
      </c>
      <c r="I70">
        <f>+G70</f>
        <v>-0.15755199999694014</v>
      </c>
      <c r="K70" s="33"/>
      <c r="L70" s="33"/>
      <c r="M70" s="33"/>
      <c r="O70">
        <f t="shared" ca="1" si="9"/>
        <v>-0.15608977795865756</v>
      </c>
      <c r="Q70" s="2">
        <f t="shared" si="10"/>
        <v>39953.934500000003</v>
      </c>
    </row>
    <row r="71" spans="1:17" x14ac:dyDescent="0.2">
      <c r="A71" s="42" t="s">
        <v>47</v>
      </c>
      <c r="B71" s="43" t="s">
        <v>29</v>
      </c>
      <c r="C71" s="42">
        <v>54972.436399999999</v>
      </c>
      <c r="D71" s="42">
        <v>8.0000000000000004E-4</v>
      </c>
      <c r="E71">
        <f t="shared" si="8"/>
        <v>7595.4031450954089</v>
      </c>
      <c r="F71" s="27">
        <f t="shared" si="12"/>
        <v>7596</v>
      </c>
      <c r="G71">
        <f t="shared" si="6"/>
        <v>-0.15565200000128243</v>
      </c>
      <c r="K71">
        <f>+G71</f>
        <v>-0.15565200000128243</v>
      </c>
      <c r="L71" s="33"/>
      <c r="M71" s="33"/>
      <c r="O71">
        <f t="shared" ca="1" si="9"/>
        <v>-0.15608977795865756</v>
      </c>
      <c r="Q71" s="2">
        <f t="shared" si="10"/>
        <v>39953.936399999999</v>
      </c>
    </row>
    <row r="72" spans="1:17" x14ac:dyDescent="0.2">
      <c r="A72" s="64" t="s">
        <v>88</v>
      </c>
      <c r="B72" s="65" t="s">
        <v>30</v>
      </c>
      <c r="C72" s="64">
        <v>54972.563999999998</v>
      </c>
      <c r="D72" s="64" t="s">
        <v>67</v>
      </c>
      <c r="E72">
        <f t="shared" si="8"/>
        <v>7595.8924332884553</v>
      </c>
      <c r="F72" s="27">
        <f t="shared" si="12"/>
        <v>7596.5</v>
      </c>
      <c r="G72">
        <f t="shared" ref="G72:G88" si="13">+C72-(C$7+F72*C$8)</f>
        <v>-0.15844550000474555</v>
      </c>
      <c r="I72">
        <f>+G72</f>
        <v>-0.15844550000474555</v>
      </c>
      <c r="K72" s="33"/>
      <c r="L72" s="33"/>
      <c r="M72" s="33"/>
      <c r="O72">
        <f t="shared" ca="1" si="9"/>
        <v>-0.15610009789725179</v>
      </c>
      <c r="Q72" s="2">
        <f t="shared" si="10"/>
        <v>39954.063999999998</v>
      </c>
    </row>
    <row r="73" spans="1:17" x14ac:dyDescent="0.2">
      <c r="A73" s="40" t="s">
        <v>48</v>
      </c>
      <c r="B73" s="41" t="s">
        <v>29</v>
      </c>
      <c r="C73" s="40">
        <v>55243.883699999998</v>
      </c>
      <c r="D73" s="40">
        <v>1E-3</v>
      </c>
      <c r="E73">
        <f t="shared" si="8"/>
        <v>8636.2805661325001</v>
      </c>
      <c r="F73" s="27">
        <f t="shared" si="12"/>
        <v>8637</v>
      </c>
      <c r="G73">
        <f t="shared" si="13"/>
        <v>-0.18761900000390597</v>
      </c>
      <c r="K73">
        <f>+G73</f>
        <v>-0.18761900000390597</v>
      </c>
      <c r="L73" s="33"/>
      <c r="M73" s="33"/>
      <c r="O73">
        <f t="shared" ca="1" si="9"/>
        <v>-0.17757589011190533</v>
      </c>
      <c r="Q73" s="2">
        <f t="shared" si="10"/>
        <v>40225.383699999998</v>
      </c>
    </row>
    <row r="74" spans="1:17" x14ac:dyDescent="0.2">
      <c r="A74" s="40" t="s">
        <v>52</v>
      </c>
      <c r="B74" s="41" t="s">
        <v>30</v>
      </c>
      <c r="C74" s="40">
        <v>55315.472199999997</v>
      </c>
      <c r="D74" s="40">
        <v>1.1999999999999999E-3</v>
      </c>
      <c r="E74">
        <f t="shared" si="8"/>
        <v>8910.7900317116819</v>
      </c>
      <c r="F74" s="27">
        <f t="shared" si="12"/>
        <v>8911.5</v>
      </c>
      <c r="G74">
        <f t="shared" si="13"/>
        <v>-0.18515050000860356</v>
      </c>
      <c r="J74">
        <f>+G74</f>
        <v>-0.18515050000860356</v>
      </c>
      <c r="K74" s="33"/>
      <c r="L74" s="33"/>
      <c r="M74" s="33"/>
      <c r="O74">
        <f t="shared" ca="1" si="9"/>
        <v>-0.18324153640015367</v>
      </c>
      <c r="Q74" s="2">
        <f t="shared" si="10"/>
        <v>40296.972199999997</v>
      </c>
    </row>
    <row r="75" spans="1:17" x14ac:dyDescent="0.2">
      <c r="A75" s="40" t="s">
        <v>52</v>
      </c>
      <c r="B75" s="41" t="s">
        <v>29</v>
      </c>
      <c r="C75" s="40">
        <v>55315.604099999997</v>
      </c>
      <c r="D75" s="40">
        <v>2.0000000000000001E-4</v>
      </c>
      <c r="E75">
        <f t="shared" si="8"/>
        <v>8911.295808456689</v>
      </c>
      <c r="F75" s="27">
        <f t="shared" si="12"/>
        <v>8912</v>
      </c>
      <c r="G75">
        <f t="shared" si="13"/>
        <v>-0.1836440000042785</v>
      </c>
      <c r="J75">
        <f>+G75</f>
        <v>-0.1836440000042785</v>
      </c>
      <c r="K75" s="33"/>
      <c r="L75" s="33"/>
      <c r="M75" s="33"/>
      <c r="O75">
        <f t="shared" ca="1" si="9"/>
        <v>-0.18325185633874794</v>
      </c>
      <c r="Q75" s="2">
        <f t="shared" si="10"/>
        <v>40297.104099999997</v>
      </c>
    </row>
    <row r="76" spans="1:17" x14ac:dyDescent="0.2">
      <c r="A76" s="47" t="s">
        <v>51</v>
      </c>
      <c r="B76" s="48" t="s">
        <v>29</v>
      </c>
      <c r="C76" s="49">
        <v>55316.3851</v>
      </c>
      <c r="D76" s="49">
        <v>1E-4</v>
      </c>
      <c r="E76">
        <f t="shared" si="8"/>
        <v>8914.2905896382763</v>
      </c>
      <c r="F76" s="27">
        <f t="shared" si="12"/>
        <v>8915</v>
      </c>
      <c r="G76">
        <f t="shared" si="13"/>
        <v>-0.18500499999936437</v>
      </c>
      <c r="K76">
        <f t="shared" ref="K76:K88" si="14">+G76</f>
        <v>-0.18500499999936437</v>
      </c>
      <c r="L76" s="33"/>
      <c r="M76" s="33"/>
      <c r="O76">
        <f t="shared" ca="1" si="9"/>
        <v>-0.18331377597031348</v>
      </c>
      <c r="Q76" s="2">
        <f t="shared" si="10"/>
        <v>40297.8851</v>
      </c>
    </row>
    <row r="77" spans="1:17" x14ac:dyDescent="0.2">
      <c r="A77" s="47" t="s">
        <v>51</v>
      </c>
      <c r="B77" s="48" t="s">
        <v>30</v>
      </c>
      <c r="C77" s="49">
        <v>55316.5147</v>
      </c>
      <c r="D77" s="49">
        <v>1E-4</v>
      </c>
      <c r="E77">
        <f t="shared" si="8"/>
        <v>8914.7875469252594</v>
      </c>
      <c r="F77" s="27">
        <f t="shared" si="12"/>
        <v>8915.5</v>
      </c>
      <c r="G77">
        <f t="shared" si="13"/>
        <v>-0.18579850000242004</v>
      </c>
      <c r="K77">
        <f t="shared" si="14"/>
        <v>-0.18579850000242004</v>
      </c>
      <c r="L77" s="33"/>
      <c r="M77" s="33"/>
      <c r="O77">
        <f t="shared" ca="1" si="9"/>
        <v>-0.18332409590890775</v>
      </c>
      <c r="Q77" s="2">
        <f t="shared" si="10"/>
        <v>40298.0147</v>
      </c>
    </row>
    <row r="78" spans="1:17" x14ac:dyDescent="0.2">
      <c r="A78" s="47" t="s">
        <v>51</v>
      </c>
      <c r="B78" s="48" t="s">
        <v>29</v>
      </c>
      <c r="C78" s="49">
        <v>55333.334900000002</v>
      </c>
      <c r="D78" s="49">
        <v>1E-4</v>
      </c>
      <c r="E78">
        <f t="shared" si="8"/>
        <v>8979.2853938271437</v>
      </c>
      <c r="F78" s="27">
        <f t="shared" si="12"/>
        <v>8980</v>
      </c>
      <c r="G78">
        <f t="shared" si="13"/>
        <v>-0.18635999999969499</v>
      </c>
      <c r="K78">
        <f t="shared" si="14"/>
        <v>-0.18635999999969499</v>
      </c>
      <c r="L78" s="33"/>
      <c r="M78" s="33"/>
      <c r="O78">
        <f t="shared" ca="1" si="9"/>
        <v>-0.18465536798756718</v>
      </c>
      <c r="Q78" s="2">
        <f t="shared" si="10"/>
        <v>40314.834900000002</v>
      </c>
    </row>
    <row r="79" spans="1:17" x14ac:dyDescent="0.2">
      <c r="A79" s="47" t="s">
        <v>51</v>
      </c>
      <c r="B79" s="48" t="s">
        <v>30</v>
      </c>
      <c r="C79" s="49">
        <v>55333.463900000002</v>
      </c>
      <c r="D79" s="49">
        <v>1E-4</v>
      </c>
      <c r="E79">
        <f t="shared" si="8"/>
        <v>8979.7800503859489</v>
      </c>
      <c r="F79" s="27">
        <f t="shared" si="12"/>
        <v>8980.5</v>
      </c>
      <c r="G79">
        <f t="shared" si="13"/>
        <v>-0.1877535000021453</v>
      </c>
      <c r="K79">
        <f t="shared" si="14"/>
        <v>-0.1877535000021453</v>
      </c>
      <c r="L79" s="33"/>
      <c r="M79" s="33"/>
      <c r="O79">
        <f t="shared" ca="1" si="9"/>
        <v>-0.18466568792616145</v>
      </c>
      <c r="Q79" s="2">
        <f t="shared" si="10"/>
        <v>40314.963900000002</v>
      </c>
    </row>
    <row r="80" spans="1:17" x14ac:dyDescent="0.2">
      <c r="A80" s="40" t="s">
        <v>53</v>
      </c>
      <c r="B80" s="41" t="s">
        <v>30</v>
      </c>
      <c r="C80" s="40">
        <v>55637.911200000002</v>
      </c>
      <c r="D80" s="40">
        <v>4.0000000000000002E-4</v>
      </c>
      <c r="E80">
        <f t="shared" si="8"/>
        <v>10147.19752134884</v>
      </c>
      <c r="F80" s="39">
        <f t="shared" ref="F80:F86" si="15">ROUND(2*E80,0)/2+1</f>
        <v>10148</v>
      </c>
      <c r="G80">
        <f t="shared" si="13"/>
        <v>-0.20927600000140956</v>
      </c>
      <c r="K80">
        <f t="shared" si="14"/>
        <v>-0.20927600000140956</v>
      </c>
      <c r="L80" s="33"/>
      <c r="M80" s="33"/>
      <c r="O80">
        <f t="shared" ca="1" si="9"/>
        <v>-0.20876274454375685</v>
      </c>
      <c r="Q80" s="2">
        <f t="shared" si="10"/>
        <v>40619.411200000002</v>
      </c>
    </row>
    <row r="81" spans="1:17" x14ac:dyDescent="0.2">
      <c r="A81" s="44" t="s">
        <v>56</v>
      </c>
      <c r="B81" s="43" t="s">
        <v>30</v>
      </c>
      <c r="C81" s="42">
        <v>55670.37545</v>
      </c>
      <c r="D81" s="42">
        <v>5.0000000000000001E-4</v>
      </c>
      <c r="E81">
        <f t="shared" si="8"/>
        <v>10271.683212736822</v>
      </c>
      <c r="F81" s="39">
        <f t="shared" si="15"/>
        <v>10272.5</v>
      </c>
      <c r="G81">
        <f t="shared" si="13"/>
        <v>-0.21300750000227708</v>
      </c>
      <c r="K81">
        <f t="shared" si="14"/>
        <v>-0.21300750000227708</v>
      </c>
      <c r="L81" s="33"/>
      <c r="M81" s="33"/>
      <c r="O81">
        <f t="shared" ca="1" si="9"/>
        <v>-0.2113324092537274</v>
      </c>
      <c r="Q81" s="2">
        <f t="shared" si="10"/>
        <v>40651.87545</v>
      </c>
    </row>
    <row r="82" spans="1:17" x14ac:dyDescent="0.2">
      <c r="A82" s="44" t="s">
        <v>56</v>
      </c>
      <c r="B82" s="43" t="s">
        <v>29</v>
      </c>
      <c r="C82" s="42">
        <v>55670.50705</v>
      </c>
      <c r="D82" s="42">
        <v>5.0000000000000001E-4</v>
      </c>
      <c r="E82">
        <f t="shared" si="8"/>
        <v>10272.18783911774</v>
      </c>
      <c r="F82" s="39">
        <f t="shared" si="15"/>
        <v>10273</v>
      </c>
      <c r="G82">
        <f t="shared" si="13"/>
        <v>-0.2118010000049253</v>
      </c>
      <c r="K82">
        <f t="shared" si="14"/>
        <v>-0.2118010000049253</v>
      </c>
      <c r="L82" s="33"/>
      <c r="M82" s="33"/>
      <c r="O82">
        <f t="shared" ca="1" si="9"/>
        <v>-0.21134272919232167</v>
      </c>
      <c r="Q82" s="2">
        <f t="shared" si="10"/>
        <v>40652.00705</v>
      </c>
    </row>
    <row r="83" spans="1:17" x14ac:dyDescent="0.2">
      <c r="A83" s="40" t="s">
        <v>53</v>
      </c>
      <c r="B83" s="41" t="s">
        <v>30</v>
      </c>
      <c r="C83" s="40">
        <v>55694.755499999999</v>
      </c>
      <c r="D83" s="40">
        <v>6.9999999999999999E-4</v>
      </c>
      <c r="E83">
        <f t="shared" si="8"/>
        <v>10365.169659530564</v>
      </c>
      <c r="F83" s="39">
        <f t="shared" si="15"/>
        <v>10366</v>
      </c>
      <c r="G83">
        <f t="shared" si="13"/>
        <v>-0.21654200000193669</v>
      </c>
      <c r="K83">
        <f t="shared" si="14"/>
        <v>-0.21654200000193669</v>
      </c>
      <c r="L83" s="33"/>
      <c r="M83" s="33"/>
      <c r="O83">
        <f t="shared" ca="1" si="9"/>
        <v>-0.21326223777085387</v>
      </c>
      <c r="Q83" s="2">
        <f t="shared" si="10"/>
        <v>40676.255499999999</v>
      </c>
    </row>
    <row r="84" spans="1:17" x14ac:dyDescent="0.2">
      <c r="A84" s="40" t="s">
        <v>53</v>
      </c>
      <c r="B84" s="41" t="s">
        <v>29</v>
      </c>
      <c r="C84" s="40">
        <v>55694.889799999997</v>
      </c>
      <c r="D84" s="40">
        <v>6.9999999999999999E-4</v>
      </c>
      <c r="E84" s="33">
        <f t="shared" si="8"/>
        <v>10365.684639188285</v>
      </c>
      <c r="F84" s="39">
        <f t="shared" si="15"/>
        <v>10366.5</v>
      </c>
      <c r="G84">
        <f t="shared" si="13"/>
        <v>-0.21263550000730902</v>
      </c>
      <c r="K84">
        <f t="shared" si="14"/>
        <v>-0.21263550000730902</v>
      </c>
      <c r="L84" s="33"/>
      <c r="M84" s="33"/>
      <c r="O84">
        <f t="shared" ca="1" si="9"/>
        <v>-0.21327255770944814</v>
      </c>
      <c r="Q84" s="2">
        <f t="shared" si="10"/>
        <v>40676.389799999997</v>
      </c>
    </row>
    <row r="85" spans="1:17" x14ac:dyDescent="0.2">
      <c r="A85" s="42" t="s">
        <v>55</v>
      </c>
      <c r="B85" s="43" t="s">
        <v>30</v>
      </c>
      <c r="C85" s="42">
        <v>56003.895700000001</v>
      </c>
      <c r="D85" s="42">
        <v>2.9999999999999997E-4</v>
      </c>
      <c r="E85" s="33">
        <f t="shared" si="8"/>
        <v>11550.582275957002</v>
      </c>
      <c r="F85" s="39">
        <f t="shared" si="15"/>
        <v>11551.5</v>
      </c>
      <c r="G85">
        <f t="shared" si="13"/>
        <v>-0.23933050000050571</v>
      </c>
      <c r="K85">
        <f t="shared" si="14"/>
        <v>-0.23933050000050571</v>
      </c>
      <c r="L85" s="33"/>
      <c r="M85" s="33"/>
      <c r="O85">
        <f t="shared" ca="1" si="9"/>
        <v>-0.23773081217784262</v>
      </c>
      <c r="Q85" s="2">
        <f t="shared" si="10"/>
        <v>40985.395700000001</v>
      </c>
    </row>
    <row r="86" spans="1:17" x14ac:dyDescent="0.2">
      <c r="A86" s="42" t="s">
        <v>55</v>
      </c>
      <c r="B86" s="43" t="s">
        <v>30</v>
      </c>
      <c r="C86" s="42">
        <v>56077.6921</v>
      </c>
      <c r="D86" s="42">
        <v>2.0000000000000001E-4</v>
      </c>
      <c r="E86" s="33">
        <f t="shared" si="8"/>
        <v>11833.558037785619</v>
      </c>
      <c r="F86" s="39">
        <f t="shared" si="15"/>
        <v>11834.5</v>
      </c>
      <c r="G86">
        <f t="shared" si="13"/>
        <v>-0.24565150000125868</v>
      </c>
      <c r="K86">
        <f t="shared" si="14"/>
        <v>-0.24565150000125868</v>
      </c>
      <c r="L86" s="33"/>
      <c r="M86" s="33"/>
      <c r="O86">
        <f t="shared" ca="1" si="9"/>
        <v>-0.24357189742219335</v>
      </c>
      <c r="Q86" s="2">
        <f t="shared" si="10"/>
        <v>41059.1921</v>
      </c>
    </row>
    <row r="87" spans="1:17" x14ac:dyDescent="0.2">
      <c r="A87" s="69" t="s">
        <v>165</v>
      </c>
      <c r="B87" s="70" t="s">
        <v>30</v>
      </c>
      <c r="C87" s="71">
        <v>57135.362200000003</v>
      </c>
      <c r="D87" s="71">
        <v>1E-4</v>
      </c>
      <c r="E87" s="33">
        <f t="shared" si="8"/>
        <v>15889.243712301613</v>
      </c>
      <c r="F87" s="73">
        <f>ROUND(2*E87,0)/2+1.5</f>
        <v>15890.5</v>
      </c>
      <c r="G87">
        <f t="shared" si="13"/>
        <v>-0.32762350000120932</v>
      </c>
      <c r="K87">
        <f t="shared" si="14"/>
        <v>-0.32762350000120932</v>
      </c>
      <c r="L87" s="33"/>
      <c r="M87" s="33"/>
      <c r="O87">
        <f t="shared" ca="1" si="9"/>
        <v>-0.32728723929882453</v>
      </c>
      <c r="Q87" s="2">
        <f t="shared" si="10"/>
        <v>42116.862200000003</v>
      </c>
    </row>
    <row r="88" spans="1:17" x14ac:dyDescent="0.2">
      <c r="A88" s="68" t="s">
        <v>0</v>
      </c>
      <c r="B88" s="72" t="s">
        <v>29</v>
      </c>
      <c r="C88" s="72">
        <v>57855.464899999999</v>
      </c>
      <c r="D88" s="72">
        <v>2.8999999999999998E-3</v>
      </c>
      <c r="E88" s="33">
        <f t="shared" si="8"/>
        <v>18650.511336838099</v>
      </c>
      <c r="F88" s="73">
        <f>ROUND(2*E88,0)/2+1.5</f>
        <v>18652</v>
      </c>
      <c r="G88">
        <f t="shared" si="13"/>
        <v>-0.3882240000020829</v>
      </c>
      <c r="K88">
        <f t="shared" si="14"/>
        <v>-0.3882240000020829</v>
      </c>
      <c r="L88" s="33"/>
      <c r="M88" s="33"/>
      <c r="O88">
        <f t="shared" ca="1" si="9"/>
        <v>-0.38428426015491846</v>
      </c>
      <c r="Q88" s="2">
        <f t="shared" si="10"/>
        <v>42836.964899999999</v>
      </c>
    </row>
    <row r="89" spans="1:17" x14ac:dyDescent="0.2">
      <c r="A89" s="75" t="s">
        <v>166</v>
      </c>
      <c r="B89" s="76" t="s">
        <v>29</v>
      </c>
      <c r="C89" s="77">
        <v>57902.418440000154</v>
      </c>
      <c r="D89" s="77">
        <v>1E-4</v>
      </c>
      <c r="E89" s="33">
        <f>+(C89-C$7)/C$8</f>
        <v>18830.556891256667</v>
      </c>
      <c r="F89" s="73">
        <f>ROUND(2*E89,0)/2+1.5</f>
        <v>18832</v>
      </c>
      <c r="G89">
        <f>+C89-(C$7+F89*C$8)</f>
        <v>-0.37634399985108757</v>
      </c>
      <c r="K89">
        <f>+G89</f>
        <v>-0.37634399985108757</v>
      </c>
      <c r="L89" s="33"/>
      <c r="M89" s="33"/>
      <c r="O89">
        <f ca="1">+C$11+C$12*$F89</f>
        <v>-0.38799943804885179</v>
      </c>
      <c r="Q89" s="2">
        <f>+C89-15018.5</f>
        <v>42883.918440000154</v>
      </c>
    </row>
    <row r="90" spans="1:17" x14ac:dyDescent="0.2">
      <c r="A90" s="33"/>
      <c r="B90" s="33"/>
      <c r="C90" s="33"/>
      <c r="D90" s="33"/>
      <c r="E90" s="33"/>
    </row>
    <row r="91" spans="1:17" x14ac:dyDescent="0.2">
      <c r="A91" s="33"/>
      <c r="B91" s="33"/>
      <c r="C91" s="33"/>
      <c r="D91" s="33"/>
      <c r="E91" s="33"/>
    </row>
    <row r="92" spans="1:17" x14ac:dyDescent="0.2">
      <c r="A92" s="33"/>
      <c r="B92" s="33"/>
      <c r="C92" s="33"/>
      <c r="D92" s="33"/>
      <c r="E92" s="33"/>
    </row>
  </sheetData>
  <protectedRanges>
    <protectedRange sqref="A89:D89" name="Range1"/>
  </protectedRanges>
  <phoneticPr fontId="7" type="noConversion"/>
  <hyperlinks>
    <hyperlink ref="H1225" r:id="rId1" display="http://vsolj.cetus-net.org/bulletin.html"/>
    <hyperlink ref="H64801" r:id="rId2" display="http://vsolj.cetus-net.org/bulletin.html"/>
    <hyperlink ref="H64794" r:id="rId3" display="https://www.aavso.org/ejaavso"/>
    <hyperlink ref="AP945" r:id="rId4" display="http://cdsbib.u-strasbg.fr/cgi-bin/cdsbib?1990RMxAA..21..381G"/>
    <hyperlink ref="AP949" r:id="rId5" display="http://cdsbib.u-strasbg.fr/cgi-bin/cdsbib?1990RMxAA..21..381G"/>
    <hyperlink ref="AP948" r:id="rId6" display="http://cdsbib.u-strasbg.fr/cgi-bin/cdsbib?1990RMxAA..21..381G"/>
    <hyperlink ref="AP929" r:id="rId7" display="http://cdsbib.u-strasbg.fr/cgi-bin/cdsbib?1990RMxAA..21..381G"/>
    <hyperlink ref="I64801" r:id="rId8" display="http://vsolj.cetus-net.org/bulletin.html"/>
    <hyperlink ref="AQ1085" r:id="rId9" display="http://cdsbib.u-strasbg.fr/cgi-bin/cdsbib?1990RMxAA..21..381G"/>
    <hyperlink ref="AQ55851" r:id="rId10" display="http://cdsbib.u-strasbg.fr/cgi-bin/cdsbib?1990RMxAA..21..381G"/>
    <hyperlink ref="AQ1086" r:id="rId11" display="http://cdsbib.u-strasbg.fr/cgi-bin/cdsbib?1990RMxAA..21..381G"/>
    <hyperlink ref="H64798" r:id="rId12" display="https://www.aavso.org/ejaavso"/>
    <hyperlink ref="H1971" r:id="rId13" display="http://vsolj.cetus-net.org/bulletin.html"/>
    <hyperlink ref="AP3215" r:id="rId14" display="http://cdsbib.u-strasbg.fr/cgi-bin/cdsbib?1990RMxAA..21..381G"/>
    <hyperlink ref="AP3218" r:id="rId15" display="http://cdsbib.u-strasbg.fr/cgi-bin/cdsbib?1990RMxAA..21..381G"/>
    <hyperlink ref="AP3216" r:id="rId16" display="http://cdsbib.u-strasbg.fr/cgi-bin/cdsbib?1990RMxAA..21..381G"/>
    <hyperlink ref="AP3200" r:id="rId17" display="http://cdsbib.u-strasbg.fr/cgi-bin/cdsbib?1990RMxAA..21..381G"/>
    <hyperlink ref="I1971" r:id="rId18" display="http://vsolj.cetus-net.org/bulletin.html"/>
    <hyperlink ref="AQ3429" r:id="rId19" display="http://cdsbib.u-strasbg.fr/cgi-bin/cdsbib?1990RMxAA..21..381G"/>
    <hyperlink ref="AQ130" r:id="rId20" display="http://cdsbib.u-strasbg.fr/cgi-bin/cdsbib?1990RMxAA..21..381G"/>
    <hyperlink ref="AQ3433" r:id="rId21" display="http://cdsbib.u-strasbg.fr/cgi-bin/cdsbib?1990RMxAA..21..381G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topLeftCell="A7" workbookViewId="0">
      <selection activeCell="A29" sqref="A29:D30"/>
    </sheetView>
  </sheetViews>
  <sheetFormatPr defaultRowHeight="12.75" x14ac:dyDescent="0.2"/>
  <cols>
    <col min="1" max="1" width="19.7109375" style="51" customWidth="1"/>
    <col min="2" max="2" width="4.42578125" style="17" customWidth="1"/>
    <col min="3" max="3" width="12.7109375" style="5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5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0" t="s">
        <v>57</v>
      </c>
      <c r="I1" s="52" t="s">
        <v>58</v>
      </c>
      <c r="J1" s="53" t="s">
        <v>59</v>
      </c>
    </row>
    <row r="2" spans="1:16" x14ac:dyDescent="0.2">
      <c r="I2" s="54" t="s">
        <v>60</v>
      </c>
      <c r="J2" s="55" t="s">
        <v>61</v>
      </c>
    </row>
    <row r="3" spans="1:16" x14ac:dyDescent="0.2">
      <c r="A3" s="56" t="s">
        <v>62</v>
      </c>
      <c r="I3" s="54" t="s">
        <v>63</v>
      </c>
      <c r="J3" s="55" t="s">
        <v>64</v>
      </c>
    </row>
    <row r="4" spans="1:16" x14ac:dyDescent="0.2">
      <c r="I4" s="54" t="s">
        <v>65</v>
      </c>
      <c r="J4" s="55" t="s">
        <v>64</v>
      </c>
    </row>
    <row r="5" spans="1:16" ht="13.5" thickBot="1" x14ac:dyDescent="0.25">
      <c r="I5" s="57" t="s">
        <v>66</v>
      </c>
      <c r="J5" s="58" t="s">
        <v>67</v>
      </c>
    </row>
    <row r="10" spans="1:16" ht="13.5" thickBot="1" x14ac:dyDescent="0.25"/>
    <row r="11" spans="1:16" ht="12.75" customHeight="1" thickBot="1" x14ac:dyDescent="0.25">
      <c r="A11" s="51" t="str">
        <f t="shared" ref="A11:A30" si="0">P11</f>
        <v>IBVS 5781 </v>
      </c>
      <c r="B11" s="15" t="str">
        <f t="shared" ref="B11:B30" si="1">IF(H11=INT(H11),"I","II")</f>
        <v>I</v>
      </c>
      <c r="C11" s="51">
        <f t="shared" ref="C11:C30" si="2">1*G11</f>
        <v>54172.408300000003</v>
      </c>
      <c r="D11" s="17" t="str">
        <f t="shared" ref="D11:D30" si="3">VLOOKUP(F11,I$1:J$5,2,FALSE)</f>
        <v>vis</v>
      </c>
      <c r="E11" s="59">
        <f>VLOOKUP(C11,'Active 1'!C$21:E$973,3,FALSE)</f>
        <v>4528.0180575580425</v>
      </c>
      <c r="F11" s="15" t="s">
        <v>66</v>
      </c>
      <c r="G11" s="17" t="str">
        <f t="shared" ref="G11:G30" si="4">MID(I11,3,LEN(I11)-3)</f>
        <v>54172.4083</v>
      </c>
      <c r="H11" s="51">
        <f t="shared" ref="H11:H30" si="5">1*K11</f>
        <v>-5745</v>
      </c>
      <c r="I11" s="60" t="s">
        <v>68</v>
      </c>
      <c r="J11" s="61" t="s">
        <v>69</v>
      </c>
      <c r="K11" s="60">
        <v>-5745</v>
      </c>
      <c r="L11" s="60" t="s">
        <v>70</v>
      </c>
      <c r="M11" s="61" t="s">
        <v>71</v>
      </c>
      <c r="N11" s="61" t="s">
        <v>58</v>
      </c>
      <c r="O11" s="62" t="s">
        <v>72</v>
      </c>
      <c r="P11" s="63" t="s">
        <v>73</v>
      </c>
    </row>
    <row r="12" spans="1:16" ht="12.75" customHeight="1" thickBot="1" x14ac:dyDescent="0.25">
      <c r="A12" s="51" t="str">
        <f t="shared" si="0"/>
        <v>IBVS 5875 </v>
      </c>
      <c r="B12" s="15" t="str">
        <f t="shared" si="1"/>
        <v>II</v>
      </c>
      <c r="C12" s="51">
        <f t="shared" si="2"/>
        <v>54554.817799999997</v>
      </c>
      <c r="D12" s="17" t="str">
        <f t="shared" si="3"/>
        <v>vis</v>
      </c>
      <c r="E12" s="59">
        <f>VLOOKUP(C12,'Active 1'!C$21:E$973,3,FALSE)</f>
        <v>5994.501915700007</v>
      </c>
      <c r="F12" s="15" t="s">
        <v>66</v>
      </c>
      <c r="G12" s="17" t="str">
        <f t="shared" si="4"/>
        <v>54554.8178</v>
      </c>
      <c r="H12" s="51">
        <f t="shared" si="5"/>
        <v>-4278.5</v>
      </c>
      <c r="I12" s="60" t="s">
        <v>74</v>
      </c>
      <c r="J12" s="61" t="s">
        <v>75</v>
      </c>
      <c r="K12" s="60">
        <v>-4278.5</v>
      </c>
      <c r="L12" s="60" t="s">
        <v>76</v>
      </c>
      <c r="M12" s="61" t="s">
        <v>71</v>
      </c>
      <c r="N12" s="61" t="s">
        <v>58</v>
      </c>
      <c r="O12" s="62" t="s">
        <v>77</v>
      </c>
      <c r="P12" s="63" t="s">
        <v>78</v>
      </c>
    </row>
    <row r="13" spans="1:16" ht="12.75" customHeight="1" thickBot="1" x14ac:dyDescent="0.25">
      <c r="A13" s="51" t="str">
        <f t="shared" si="0"/>
        <v>IBVS 5875 </v>
      </c>
      <c r="B13" s="15" t="str">
        <f t="shared" si="1"/>
        <v>I</v>
      </c>
      <c r="C13" s="51">
        <f t="shared" si="2"/>
        <v>54817.017599999999</v>
      </c>
      <c r="D13" s="17" t="str">
        <f t="shared" si="3"/>
        <v>vis</v>
      </c>
      <c r="E13" s="59">
        <f>VLOOKUP(C13,'Active 1'!C$21:E$973,3,FALSE)</f>
        <v>6999.9993583839905</v>
      </c>
      <c r="F13" s="15" t="s">
        <v>66</v>
      </c>
      <c r="G13" s="17" t="str">
        <f t="shared" si="4"/>
        <v>54817.0176</v>
      </c>
      <c r="H13" s="51">
        <f t="shared" si="5"/>
        <v>-3273</v>
      </c>
      <c r="I13" s="60" t="s">
        <v>79</v>
      </c>
      <c r="J13" s="61" t="s">
        <v>80</v>
      </c>
      <c r="K13" s="60">
        <v>-3273</v>
      </c>
      <c r="L13" s="60" t="s">
        <v>81</v>
      </c>
      <c r="M13" s="61" t="s">
        <v>71</v>
      </c>
      <c r="N13" s="61" t="s">
        <v>82</v>
      </c>
      <c r="O13" s="62" t="s">
        <v>77</v>
      </c>
      <c r="P13" s="63" t="s">
        <v>78</v>
      </c>
    </row>
    <row r="14" spans="1:16" ht="12.75" customHeight="1" thickBot="1" x14ac:dyDescent="0.25">
      <c r="A14" s="51" t="str">
        <f t="shared" si="0"/>
        <v>IBVS 5894 </v>
      </c>
      <c r="B14" s="15" t="str">
        <f t="shared" si="1"/>
        <v>I</v>
      </c>
      <c r="C14" s="51">
        <f t="shared" si="2"/>
        <v>54972.436399999999</v>
      </c>
      <c r="D14" s="17" t="str">
        <f t="shared" si="3"/>
        <v>vis</v>
      </c>
      <c r="E14" s="59">
        <f>VLOOKUP(C14,'Active 1'!C$21:E$973,3,FALSE)</f>
        <v>7596.0074634436114</v>
      </c>
      <c r="F14" s="15" t="s">
        <v>66</v>
      </c>
      <c r="G14" s="17" t="str">
        <f t="shared" si="4"/>
        <v>54972.4364</v>
      </c>
      <c r="H14" s="51">
        <f t="shared" si="5"/>
        <v>-2677</v>
      </c>
      <c r="I14" s="60" t="s">
        <v>89</v>
      </c>
      <c r="J14" s="61" t="s">
        <v>90</v>
      </c>
      <c r="K14" s="60" t="s">
        <v>91</v>
      </c>
      <c r="L14" s="60" t="s">
        <v>92</v>
      </c>
      <c r="M14" s="61" t="s">
        <v>71</v>
      </c>
      <c r="N14" s="61" t="s">
        <v>58</v>
      </c>
      <c r="O14" s="62" t="s">
        <v>72</v>
      </c>
      <c r="P14" s="63" t="s">
        <v>93</v>
      </c>
    </row>
    <row r="15" spans="1:16" ht="12.75" customHeight="1" thickBot="1" x14ac:dyDescent="0.25">
      <c r="A15" s="51" t="str">
        <f t="shared" si="0"/>
        <v>IBVS 5945 </v>
      </c>
      <c r="B15" s="15" t="str">
        <f t="shared" si="1"/>
        <v>I</v>
      </c>
      <c r="C15" s="51">
        <f t="shared" si="2"/>
        <v>55243.883699999998</v>
      </c>
      <c r="D15" s="17" t="str">
        <f t="shared" si="3"/>
        <v>vis</v>
      </c>
      <c r="E15" s="59">
        <f>VLOOKUP(C15,'Active 1'!C$21:E$973,3,FALSE)</f>
        <v>8636.9677005355898</v>
      </c>
      <c r="F15" s="15" t="s">
        <v>66</v>
      </c>
      <c r="G15" s="17" t="str">
        <f t="shared" si="4"/>
        <v>55243.8837</v>
      </c>
      <c r="H15" s="51">
        <f t="shared" si="5"/>
        <v>-1636</v>
      </c>
      <c r="I15" s="60" t="s">
        <v>98</v>
      </c>
      <c r="J15" s="61" t="s">
        <v>99</v>
      </c>
      <c r="K15" s="60" t="s">
        <v>100</v>
      </c>
      <c r="L15" s="60" t="s">
        <v>101</v>
      </c>
      <c r="M15" s="61" t="s">
        <v>71</v>
      </c>
      <c r="N15" s="61" t="s">
        <v>66</v>
      </c>
      <c r="O15" s="62" t="s">
        <v>102</v>
      </c>
      <c r="P15" s="63" t="s">
        <v>103</v>
      </c>
    </row>
    <row r="16" spans="1:16" ht="12.75" customHeight="1" thickBot="1" x14ac:dyDescent="0.25">
      <c r="A16" s="51" t="str">
        <f t="shared" si="0"/>
        <v>BAVM 214 </v>
      </c>
      <c r="B16" s="15" t="str">
        <f t="shared" si="1"/>
        <v>II</v>
      </c>
      <c r="C16" s="51">
        <f t="shared" si="2"/>
        <v>55315.472199999997</v>
      </c>
      <c r="D16" s="17" t="str">
        <f t="shared" si="3"/>
        <v>vis</v>
      </c>
      <c r="E16" s="59">
        <f>VLOOKUP(C16,'Active 1'!C$21:E$973,3,FALSE)</f>
        <v>8911.4990071024895</v>
      </c>
      <c r="F16" s="15" t="s">
        <v>66</v>
      </c>
      <c r="G16" s="17" t="str">
        <f t="shared" si="4"/>
        <v>55315.4722</v>
      </c>
      <c r="H16" s="51">
        <f t="shared" si="5"/>
        <v>-1361.5</v>
      </c>
      <c r="I16" s="60" t="s">
        <v>104</v>
      </c>
      <c r="J16" s="61" t="s">
        <v>105</v>
      </c>
      <c r="K16" s="60" t="s">
        <v>106</v>
      </c>
      <c r="L16" s="60" t="s">
        <v>107</v>
      </c>
      <c r="M16" s="61" t="s">
        <v>71</v>
      </c>
      <c r="N16" s="61" t="s">
        <v>86</v>
      </c>
      <c r="O16" s="62" t="s">
        <v>87</v>
      </c>
      <c r="P16" s="63" t="s">
        <v>108</v>
      </c>
    </row>
    <row r="17" spans="1:16" ht="12.75" customHeight="1" thickBot="1" x14ac:dyDescent="0.25">
      <c r="A17" s="51" t="str">
        <f t="shared" si="0"/>
        <v>BAVM 214 </v>
      </c>
      <c r="B17" s="15" t="str">
        <f t="shared" si="1"/>
        <v>I</v>
      </c>
      <c r="C17" s="51">
        <f t="shared" si="2"/>
        <v>55315.604099999997</v>
      </c>
      <c r="D17" s="17" t="str">
        <f t="shared" si="3"/>
        <v>vis</v>
      </c>
      <c r="E17" s="59">
        <f>VLOOKUP(C17,'Active 1'!C$21:E$973,3,FALSE)</f>
        <v>8912.0048240889646</v>
      </c>
      <c r="F17" s="15" t="s">
        <v>66</v>
      </c>
      <c r="G17" s="17" t="str">
        <f t="shared" si="4"/>
        <v>55315.6041</v>
      </c>
      <c r="H17" s="51">
        <f t="shared" si="5"/>
        <v>-1361</v>
      </c>
      <c r="I17" s="60" t="s">
        <v>109</v>
      </c>
      <c r="J17" s="61" t="s">
        <v>110</v>
      </c>
      <c r="K17" s="60" t="s">
        <v>111</v>
      </c>
      <c r="L17" s="60" t="s">
        <v>112</v>
      </c>
      <c r="M17" s="61" t="s">
        <v>71</v>
      </c>
      <c r="N17" s="61" t="s">
        <v>86</v>
      </c>
      <c r="O17" s="62" t="s">
        <v>87</v>
      </c>
      <c r="P17" s="63" t="s">
        <v>108</v>
      </c>
    </row>
    <row r="18" spans="1:16" ht="12.75" customHeight="1" thickBot="1" x14ac:dyDescent="0.25">
      <c r="A18" s="51" t="str">
        <f t="shared" si="0"/>
        <v>IBVS 5965 </v>
      </c>
      <c r="B18" s="15" t="str">
        <f t="shared" si="1"/>
        <v>I</v>
      </c>
      <c r="C18" s="51">
        <f t="shared" si="2"/>
        <v>55316.3851</v>
      </c>
      <c r="D18" s="17" t="str">
        <f t="shared" si="3"/>
        <v>vis</v>
      </c>
      <c r="E18" s="59">
        <f>VLOOKUP(C18,'Active 1'!C$21:E$973,3,FALSE)</f>
        <v>8914.9998435464131</v>
      </c>
      <c r="F18" s="15" t="s">
        <v>66</v>
      </c>
      <c r="G18" s="17" t="str">
        <f t="shared" si="4"/>
        <v>55316.3851</v>
      </c>
      <c r="H18" s="51">
        <f t="shared" si="5"/>
        <v>-1358</v>
      </c>
      <c r="I18" s="60" t="s">
        <v>113</v>
      </c>
      <c r="J18" s="61" t="s">
        <v>114</v>
      </c>
      <c r="K18" s="60" t="s">
        <v>115</v>
      </c>
      <c r="L18" s="60" t="s">
        <v>116</v>
      </c>
      <c r="M18" s="61" t="s">
        <v>71</v>
      </c>
      <c r="N18" s="61" t="s">
        <v>117</v>
      </c>
      <c r="O18" s="62" t="s">
        <v>118</v>
      </c>
      <c r="P18" s="63" t="s">
        <v>119</v>
      </c>
    </row>
    <row r="19" spans="1:16" ht="12.75" customHeight="1" thickBot="1" x14ac:dyDescent="0.25">
      <c r="A19" s="51" t="str">
        <f t="shared" si="0"/>
        <v>IBVS 5965 </v>
      </c>
      <c r="B19" s="15" t="str">
        <f t="shared" si="1"/>
        <v>II</v>
      </c>
      <c r="C19" s="51">
        <f t="shared" si="2"/>
        <v>55316.5147</v>
      </c>
      <c r="D19" s="17" t="str">
        <f t="shared" si="3"/>
        <v>vis</v>
      </c>
      <c r="E19" s="59">
        <f>VLOOKUP(C19,'Active 1'!C$21:E$973,3,FALSE)</f>
        <v>8915.4968403731527</v>
      </c>
      <c r="F19" s="15" t="s">
        <v>66</v>
      </c>
      <c r="G19" s="17" t="str">
        <f t="shared" si="4"/>
        <v>55316.5147</v>
      </c>
      <c r="H19" s="51">
        <f t="shared" si="5"/>
        <v>-1357.5</v>
      </c>
      <c r="I19" s="60" t="s">
        <v>120</v>
      </c>
      <c r="J19" s="61" t="s">
        <v>121</v>
      </c>
      <c r="K19" s="60" t="s">
        <v>122</v>
      </c>
      <c r="L19" s="60" t="s">
        <v>123</v>
      </c>
      <c r="M19" s="61" t="s">
        <v>71</v>
      </c>
      <c r="N19" s="61" t="s">
        <v>117</v>
      </c>
      <c r="O19" s="62" t="s">
        <v>118</v>
      </c>
      <c r="P19" s="63" t="s">
        <v>119</v>
      </c>
    </row>
    <row r="20" spans="1:16" ht="12.75" customHeight="1" thickBot="1" x14ac:dyDescent="0.25">
      <c r="A20" s="51" t="str">
        <f t="shared" si="0"/>
        <v>IBVS 5965 </v>
      </c>
      <c r="B20" s="15" t="str">
        <f t="shared" si="1"/>
        <v>I</v>
      </c>
      <c r="C20" s="51">
        <f t="shared" si="2"/>
        <v>55333.334900000002</v>
      </c>
      <c r="D20" s="17" t="str">
        <f t="shared" si="3"/>
        <v>vis</v>
      </c>
      <c r="E20" s="59">
        <f>VLOOKUP(C20,'Active 1'!C$21:E$973,3,FALSE)</f>
        <v>8979.9998189621328</v>
      </c>
      <c r="F20" s="15" t="s">
        <v>66</v>
      </c>
      <c r="G20" s="17" t="str">
        <f t="shared" si="4"/>
        <v>55333.3349</v>
      </c>
      <c r="H20" s="51">
        <f t="shared" si="5"/>
        <v>-1293</v>
      </c>
      <c r="I20" s="60" t="s">
        <v>124</v>
      </c>
      <c r="J20" s="61" t="s">
        <v>125</v>
      </c>
      <c r="K20" s="60" t="s">
        <v>126</v>
      </c>
      <c r="L20" s="60" t="s">
        <v>116</v>
      </c>
      <c r="M20" s="61" t="s">
        <v>71</v>
      </c>
      <c r="N20" s="61" t="s">
        <v>117</v>
      </c>
      <c r="O20" s="62" t="s">
        <v>127</v>
      </c>
      <c r="P20" s="63" t="s">
        <v>119</v>
      </c>
    </row>
    <row r="21" spans="1:16" ht="12.75" customHeight="1" thickBot="1" x14ac:dyDescent="0.25">
      <c r="A21" s="51" t="str">
        <f t="shared" si="0"/>
        <v>IBVS 5965 </v>
      </c>
      <c r="B21" s="15" t="str">
        <f t="shared" si="1"/>
        <v>II</v>
      </c>
      <c r="C21" s="51">
        <f t="shared" si="2"/>
        <v>55333.463900000002</v>
      </c>
      <c r="D21" s="17" t="str">
        <f t="shared" si="3"/>
        <v>vis</v>
      </c>
      <c r="E21" s="59">
        <f>VLOOKUP(C21,'Active 1'!C$21:E$973,3,FALSE)</f>
        <v>8980.4945148776424</v>
      </c>
      <c r="F21" s="15" t="s">
        <v>66</v>
      </c>
      <c r="G21" s="17" t="str">
        <f t="shared" si="4"/>
        <v>55333.4639</v>
      </c>
      <c r="H21" s="51">
        <f t="shared" si="5"/>
        <v>-1292.5</v>
      </c>
      <c r="I21" s="60" t="s">
        <v>128</v>
      </c>
      <c r="J21" s="61" t="s">
        <v>129</v>
      </c>
      <c r="K21" s="60" t="s">
        <v>130</v>
      </c>
      <c r="L21" s="60" t="s">
        <v>131</v>
      </c>
      <c r="M21" s="61" t="s">
        <v>71</v>
      </c>
      <c r="N21" s="61" t="s">
        <v>117</v>
      </c>
      <c r="O21" s="62" t="s">
        <v>127</v>
      </c>
      <c r="P21" s="63" t="s">
        <v>119</v>
      </c>
    </row>
    <row r="22" spans="1:16" ht="12.75" customHeight="1" thickBot="1" x14ac:dyDescent="0.25">
      <c r="A22" s="51" t="str">
        <f t="shared" si="0"/>
        <v>IBVS 5992 </v>
      </c>
      <c r="B22" s="15" t="str">
        <f t="shared" si="1"/>
        <v>I</v>
      </c>
      <c r="C22" s="51">
        <f t="shared" si="2"/>
        <v>55637.911200000002</v>
      </c>
      <c r="D22" s="17" t="str">
        <f t="shared" si="3"/>
        <v>vis</v>
      </c>
      <c r="E22" s="59">
        <f>VLOOKUP(C22,'Active 1'!C$21:E$973,3,FALSE)</f>
        <v>10148.00486988951</v>
      </c>
      <c r="F22" s="15" t="s">
        <v>66</v>
      </c>
      <c r="G22" s="17" t="str">
        <f t="shared" si="4"/>
        <v>55637.9112</v>
      </c>
      <c r="H22" s="51">
        <f t="shared" si="5"/>
        <v>-125</v>
      </c>
      <c r="I22" s="60" t="s">
        <v>132</v>
      </c>
      <c r="J22" s="61" t="s">
        <v>133</v>
      </c>
      <c r="K22" s="60" t="s">
        <v>134</v>
      </c>
      <c r="L22" s="60" t="s">
        <v>135</v>
      </c>
      <c r="M22" s="61" t="s">
        <v>71</v>
      </c>
      <c r="N22" s="61" t="s">
        <v>66</v>
      </c>
      <c r="O22" s="62" t="s">
        <v>102</v>
      </c>
      <c r="P22" s="63" t="s">
        <v>136</v>
      </c>
    </row>
    <row r="23" spans="1:16" ht="12.75" customHeight="1" thickBot="1" x14ac:dyDescent="0.25">
      <c r="A23" s="51" t="str">
        <f t="shared" si="0"/>
        <v>OEJV 0160 </v>
      </c>
      <c r="B23" s="15" t="str">
        <f t="shared" si="1"/>
        <v>II</v>
      </c>
      <c r="C23" s="51">
        <f t="shared" si="2"/>
        <v>55670.37545</v>
      </c>
      <c r="D23" s="17" t="str">
        <f t="shared" si="3"/>
        <v>vis</v>
      </c>
      <c r="E23" s="59">
        <f>VLOOKUP(C23,'Active 1'!C$21:E$973,3,FALSE)</f>
        <v>10272.500465819217</v>
      </c>
      <c r="F23" s="15" t="s">
        <v>66</v>
      </c>
      <c r="G23" s="17" t="str">
        <f t="shared" si="4"/>
        <v>55670.37545</v>
      </c>
      <c r="H23" s="51">
        <f t="shared" si="5"/>
        <v>-0.5</v>
      </c>
      <c r="I23" s="60" t="s">
        <v>137</v>
      </c>
      <c r="J23" s="61" t="s">
        <v>138</v>
      </c>
      <c r="K23" s="60" t="s">
        <v>139</v>
      </c>
      <c r="L23" s="60" t="s">
        <v>140</v>
      </c>
      <c r="M23" s="61" t="s">
        <v>71</v>
      </c>
      <c r="N23" s="61" t="s">
        <v>58</v>
      </c>
      <c r="O23" s="62" t="s">
        <v>141</v>
      </c>
      <c r="P23" s="63" t="s">
        <v>142</v>
      </c>
    </row>
    <row r="24" spans="1:16" ht="12.75" customHeight="1" thickBot="1" x14ac:dyDescent="0.25">
      <c r="A24" s="51" t="str">
        <f t="shared" si="0"/>
        <v>OEJV 0160 </v>
      </c>
      <c r="B24" s="15" t="str">
        <f t="shared" si="1"/>
        <v>I</v>
      </c>
      <c r="C24" s="51">
        <f t="shared" si="2"/>
        <v>55670.50705</v>
      </c>
      <c r="D24" s="17" t="str">
        <f t="shared" si="3"/>
        <v>vis</v>
      </c>
      <c r="E24" s="59">
        <f>VLOOKUP(C24,'Active 1'!C$21:E$973,3,FALSE)</f>
        <v>10273.005132350076</v>
      </c>
      <c r="F24" s="15" t="s">
        <v>66</v>
      </c>
      <c r="G24" s="17" t="str">
        <f t="shared" si="4"/>
        <v>55670.50705</v>
      </c>
      <c r="H24" s="51">
        <f t="shared" si="5"/>
        <v>0</v>
      </c>
      <c r="I24" s="60" t="s">
        <v>143</v>
      </c>
      <c r="J24" s="61" t="s">
        <v>144</v>
      </c>
      <c r="K24" s="60" t="s">
        <v>145</v>
      </c>
      <c r="L24" s="60" t="s">
        <v>146</v>
      </c>
      <c r="M24" s="61" t="s">
        <v>71</v>
      </c>
      <c r="N24" s="61" t="s">
        <v>58</v>
      </c>
      <c r="O24" s="62" t="s">
        <v>141</v>
      </c>
      <c r="P24" s="63" t="s">
        <v>142</v>
      </c>
    </row>
    <row r="25" spans="1:16" ht="12.75" customHeight="1" thickBot="1" x14ac:dyDescent="0.25">
      <c r="A25" s="51" t="str">
        <f t="shared" si="0"/>
        <v>IBVS 5992 </v>
      </c>
      <c r="B25" s="15" t="str">
        <f t="shared" si="1"/>
        <v>I</v>
      </c>
      <c r="C25" s="51">
        <f t="shared" si="2"/>
        <v>55694.755499999999</v>
      </c>
      <c r="D25" s="17" t="str">
        <f t="shared" si="3"/>
        <v>vis</v>
      </c>
      <c r="E25" s="59">
        <f>VLOOKUP(C25,'Active 1'!C$21:E$973,3,FALSE)</f>
        <v>10365.994350740209</v>
      </c>
      <c r="F25" s="15" t="s">
        <v>66</v>
      </c>
      <c r="G25" s="17" t="str">
        <f t="shared" si="4"/>
        <v>55694.7555</v>
      </c>
      <c r="H25" s="51">
        <f t="shared" si="5"/>
        <v>93</v>
      </c>
      <c r="I25" s="60" t="s">
        <v>147</v>
      </c>
      <c r="J25" s="61" t="s">
        <v>148</v>
      </c>
      <c r="K25" s="60" t="s">
        <v>149</v>
      </c>
      <c r="L25" s="60" t="s">
        <v>150</v>
      </c>
      <c r="M25" s="61" t="s">
        <v>71</v>
      </c>
      <c r="N25" s="61" t="s">
        <v>66</v>
      </c>
      <c r="O25" s="62" t="s">
        <v>102</v>
      </c>
      <c r="P25" s="63" t="s">
        <v>136</v>
      </c>
    </row>
    <row r="26" spans="1:16" ht="12.75" customHeight="1" thickBot="1" x14ac:dyDescent="0.25">
      <c r="A26" s="51" t="str">
        <f t="shared" si="0"/>
        <v>IBVS 5992 </v>
      </c>
      <c r="B26" s="15" t="str">
        <f t="shared" si="1"/>
        <v>II</v>
      </c>
      <c r="C26" s="51">
        <f t="shared" si="2"/>
        <v>55694.889799999997</v>
      </c>
      <c r="D26" s="17" t="str">
        <f t="shared" si="3"/>
        <v>vis</v>
      </c>
      <c r="E26" s="59">
        <f>VLOOKUP(C26,'Active 1'!C$21:E$973,3,FALSE)</f>
        <v>10366.509371371616</v>
      </c>
      <c r="F26" s="15" t="s">
        <v>66</v>
      </c>
      <c r="G26" s="17" t="str">
        <f t="shared" si="4"/>
        <v>55694.8898</v>
      </c>
      <c r="H26" s="51">
        <f t="shared" si="5"/>
        <v>93.5</v>
      </c>
      <c r="I26" s="60" t="s">
        <v>151</v>
      </c>
      <c r="J26" s="61" t="s">
        <v>152</v>
      </c>
      <c r="K26" s="60" t="s">
        <v>153</v>
      </c>
      <c r="L26" s="60" t="s">
        <v>154</v>
      </c>
      <c r="M26" s="61" t="s">
        <v>71</v>
      </c>
      <c r="N26" s="61" t="s">
        <v>66</v>
      </c>
      <c r="O26" s="62" t="s">
        <v>102</v>
      </c>
      <c r="P26" s="63" t="s">
        <v>136</v>
      </c>
    </row>
    <row r="27" spans="1:16" ht="12.75" customHeight="1" thickBot="1" x14ac:dyDescent="0.25">
      <c r="A27" s="51" t="str">
        <f t="shared" si="0"/>
        <v>IBVS 6029 </v>
      </c>
      <c r="B27" s="15" t="str">
        <f t="shared" si="1"/>
        <v>II</v>
      </c>
      <c r="C27" s="51">
        <f t="shared" si="2"/>
        <v>56003.895700000001</v>
      </c>
      <c r="D27" s="17" t="str">
        <f t="shared" si="3"/>
        <v>vis</v>
      </c>
      <c r="E27" s="59">
        <f>VLOOKUP(C27,'Active 1'!C$21:E$973,3,FALSE)</f>
        <v>11551.501282975911</v>
      </c>
      <c r="F27" s="15" t="s">
        <v>66</v>
      </c>
      <c r="G27" s="17" t="str">
        <f t="shared" si="4"/>
        <v>56003.8957</v>
      </c>
      <c r="H27" s="51">
        <f t="shared" si="5"/>
        <v>1278.5</v>
      </c>
      <c r="I27" s="60" t="s">
        <v>155</v>
      </c>
      <c r="J27" s="61" t="s">
        <v>156</v>
      </c>
      <c r="K27" s="60" t="s">
        <v>157</v>
      </c>
      <c r="L27" s="60" t="s">
        <v>158</v>
      </c>
      <c r="M27" s="61" t="s">
        <v>71</v>
      </c>
      <c r="N27" s="61" t="s">
        <v>66</v>
      </c>
      <c r="O27" s="62" t="s">
        <v>102</v>
      </c>
      <c r="P27" s="63" t="s">
        <v>159</v>
      </c>
    </row>
    <row r="28" spans="1:16" ht="12.75" customHeight="1" thickBot="1" x14ac:dyDescent="0.25">
      <c r="A28" s="51" t="str">
        <f t="shared" si="0"/>
        <v>IBVS 6029 </v>
      </c>
      <c r="B28" s="15" t="str">
        <f t="shared" si="1"/>
        <v>II</v>
      </c>
      <c r="C28" s="51">
        <f t="shared" si="2"/>
        <v>56077.6921</v>
      </c>
      <c r="D28" s="17" t="str">
        <f t="shared" si="3"/>
        <v>vis</v>
      </c>
      <c r="E28" s="59">
        <f>VLOOKUP(C28,'Active 1'!C$21:E$973,3,FALSE)</f>
        <v>11834.499559402067</v>
      </c>
      <c r="F28" s="15" t="s">
        <v>66</v>
      </c>
      <c r="G28" s="17" t="str">
        <f t="shared" si="4"/>
        <v>56077.6921</v>
      </c>
      <c r="H28" s="51">
        <f t="shared" si="5"/>
        <v>1561.5</v>
      </c>
      <c r="I28" s="60" t="s">
        <v>160</v>
      </c>
      <c r="J28" s="61" t="s">
        <v>161</v>
      </c>
      <c r="K28" s="60" t="s">
        <v>162</v>
      </c>
      <c r="L28" s="60" t="s">
        <v>163</v>
      </c>
      <c r="M28" s="61" t="s">
        <v>71</v>
      </c>
      <c r="N28" s="61" t="s">
        <v>66</v>
      </c>
      <c r="O28" s="62" t="s">
        <v>102</v>
      </c>
      <c r="P28" s="63" t="s">
        <v>159</v>
      </c>
    </row>
    <row r="29" spans="1:16" ht="12.75" customHeight="1" thickBot="1" x14ac:dyDescent="0.25">
      <c r="A29" s="51" t="str">
        <f t="shared" si="0"/>
        <v>BAVM 212 </v>
      </c>
      <c r="B29" s="15" t="str">
        <f t="shared" si="1"/>
        <v>I</v>
      </c>
      <c r="C29" s="51">
        <f t="shared" si="2"/>
        <v>54972.434500000003</v>
      </c>
      <c r="D29" s="17" t="str">
        <f t="shared" si="3"/>
        <v>vis</v>
      </c>
      <c r="E29" s="59">
        <f>VLOOKUP(C29,'Active 1'!C$21:E$973,3,FALSE)</f>
        <v>7596.0001772247169</v>
      </c>
      <c r="F29" s="15" t="s">
        <v>66</v>
      </c>
      <c r="G29" s="17" t="str">
        <f t="shared" si="4"/>
        <v>54972.4345</v>
      </c>
      <c r="H29" s="51">
        <f t="shared" si="5"/>
        <v>-2677</v>
      </c>
      <c r="I29" s="60" t="s">
        <v>83</v>
      </c>
      <c r="J29" s="61" t="s">
        <v>84</v>
      </c>
      <c r="K29" s="60">
        <v>-2677</v>
      </c>
      <c r="L29" s="60" t="s">
        <v>85</v>
      </c>
      <c r="M29" s="61" t="s">
        <v>71</v>
      </c>
      <c r="N29" s="61" t="s">
        <v>86</v>
      </c>
      <c r="O29" s="62" t="s">
        <v>87</v>
      </c>
      <c r="P29" s="63" t="s">
        <v>88</v>
      </c>
    </row>
    <row r="30" spans="1:16" ht="12.75" customHeight="1" thickBot="1" x14ac:dyDescent="0.25">
      <c r="A30" s="51" t="str">
        <f t="shared" si="0"/>
        <v>BAVM 212 </v>
      </c>
      <c r="B30" s="15" t="str">
        <f t="shared" si="1"/>
        <v>II</v>
      </c>
      <c r="C30" s="51">
        <f t="shared" si="2"/>
        <v>54972.563999999998</v>
      </c>
      <c r="D30" s="17" t="str">
        <f t="shared" si="3"/>
        <v>vis</v>
      </c>
      <c r="E30" s="59">
        <f>VLOOKUP(C30,'Active 1'!C$21:E$973,3,FALSE)</f>
        <v>7596.4967905662343</v>
      </c>
      <c r="F30" s="15" t="s">
        <v>66</v>
      </c>
      <c r="G30" s="17" t="str">
        <f t="shared" si="4"/>
        <v>54972.5640</v>
      </c>
      <c r="H30" s="51">
        <f t="shared" si="5"/>
        <v>-2676.5</v>
      </c>
      <c r="I30" s="60" t="s">
        <v>94</v>
      </c>
      <c r="J30" s="61" t="s">
        <v>95</v>
      </c>
      <c r="K30" s="60" t="s">
        <v>96</v>
      </c>
      <c r="L30" s="60" t="s">
        <v>97</v>
      </c>
      <c r="M30" s="61" t="s">
        <v>71</v>
      </c>
      <c r="N30" s="61" t="s">
        <v>86</v>
      </c>
      <c r="O30" s="62" t="s">
        <v>87</v>
      </c>
      <c r="P30" s="63" t="s">
        <v>88</v>
      </c>
    </row>
    <row r="31" spans="1:16" x14ac:dyDescent="0.2">
      <c r="B31" s="15"/>
      <c r="F31" s="15"/>
    </row>
    <row r="32" spans="1:16" x14ac:dyDescent="0.2">
      <c r="B32" s="15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</sheetData>
  <phoneticPr fontId="7" type="noConversion"/>
  <hyperlinks>
    <hyperlink ref="P11" r:id="rId1" display="http://www.konkoly.hu/cgi-bin/IBVS?5781"/>
    <hyperlink ref="P12" r:id="rId2" display="http://www.konkoly.hu/cgi-bin/IBVS?5875"/>
    <hyperlink ref="P13" r:id="rId3" display="http://www.konkoly.hu/cgi-bin/IBVS?5875"/>
    <hyperlink ref="P29" r:id="rId4" display="http://www.bav-astro.de/sfs/BAVM_link.php?BAVMnr=212"/>
    <hyperlink ref="P14" r:id="rId5" display="http://www.konkoly.hu/cgi-bin/IBVS?5894"/>
    <hyperlink ref="P30" r:id="rId6" display="http://www.bav-astro.de/sfs/BAVM_link.php?BAVMnr=212"/>
    <hyperlink ref="P15" r:id="rId7" display="http://www.konkoly.hu/cgi-bin/IBVS?5945"/>
    <hyperlink ref="P16" r:id="rId8" display="http://www.bav-astro.de/sfs/BAVM_link.php?BAVMnr=214"/>
    <hyperlink ref="P17" r:id="rId9" display="http://www.bav-astro.de/sfs/BAVM_link.php?BAVMnr=214"/>
    <hyperlink ref="P18" r:id="rId10" display="http://www.konkoly.hu/cgi-bin/IBVS?5965"/>
    <hyperlink ref="P19" r:id="rId11" display="http://www.konkoly.hu/cgi-bin/IBVS?5965"/>
    <hyperlink ref="P20" r:id="rId12" display="http://www.konkoly.hu/cgi-bin/IBVS?5965"/>
    <hyperlink ref="P21" r:id="rId13" display="http://www.konkoly.hu/cgi-bin/IBVS?5965"/>
    <hyperlink ref="P22" r:id="rId14" display="http://www.konkoly.hu/cgi-bin/IBVS?5992"/>
    <hyperlink ref="P23" r:id="rId15" display="http://var.astro.cz/oejv/issues/oejv0160.pdf"/>
    <hyperlink ref="P24" r:id="rId16" display="http://var.astro.cz/oejv/issues/oejv0160.pdf"/>
    <hyperlink ref="P25" r:id="rId17" display="http://www.konkoly.hu/cgi-bin/IBVS?5992"/>
    <hyperlink ref="P26" r:id="rId18" display="http://www.konkoly.hu/cgi-bin/IBVS?5992"/>
    <hyperlink ref="P27" r:id="rId19" display="http://www.konkoly.hu/cgi-bin/IBVS?6029"/>
    <hyperlink ref="P28" r:id="rId2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2024-01-30T04:53:25Z</dcterms:modified>
</cp:coreProperties>
</file>