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A73599B-5210-4EA7-8154-84854AC2C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1" i="1" l="1"/>
  <c r="F41" i="1"/>
  <c r="G41" i="1"/>
  <c r="K41" i="1"/>
  <c r="D9" i="1"/>
  <c r="C9" i="1"/>
  <c r="Q4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E26" i="1"/>
  <c r="F26" i="1"/>
  <c r="G26" i="1"/>
  <c r="I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I25" i="1"/>
  <c r="K33" i="1"/>
  <c r="D8" i="1"/>
  <c r="F16" i="1"/>
  <c r="F17" i="1" s="1"/>
  <c r="C17" i="1"/>
  <c r="U22" i="1"/>
  <c r="Q21" i="1"/>
  <c r="C12" i="1"/>
  <c r="C11" i="1"/>
  <c r="O42" i="1" l="1"/>
  <c r="R42" i="1" s="1"/>
  <c r="C16" i="1"/>
  <c r="D18" i="1" s="1"/>
  <c r="O35" i="1"/>
  <c r="R35" i="1" s="1"/>
  <c r="O38" i="1"/>
  <c r="R38" i="1" s="1"/>
  <c r="O22" i="1"/>
  <c r="R22" i="1" s="1"/>
  <c r="O29" i="1"/>
  <c r="R29" i="1" s="1"/>
  <c r="O40" i="1"/>
  <c r="R40" i="1" s="1"/>
  <c r="O23" i="1"/>
  <c r="R23" i="1" s="1"/>
  <c r="O36" i="1"/>
  <c r="R36" i="1" s="1"/>
  <c r="O32" i="1"/>
  <c r="R32" i="1" s="1"/>
  <c r="O31" i="1"/>
  <c r="R31" i="1" s="1"/>
  <c r="O34" i="1"/>
  <c r="R34" i="1" s="1"/>
  <c r="O33" i="1"/>
  <c r="R33" i="1" s="1"/>
  <c r="O25" i="1"/>
  <c r="R25" i="1" s="1"/>
  <c r="C15" i="1"/>
  <c r="O26" i="1"/>
  <c r="R26" i="1" s="1"/>
  <c r="O41" i="1"/>
  <c r="R41" i="1" s="1"/>
  <c r="O27" i="1"/>
  <c r="R27" i="1" s="1"/>
  <c r="O30" i="1"/>
  <c r="R30" i="1" s="1"/>
  <c r="O28" i="1"/>
  <c r="R28" i="1" s="1"/>
  <c r="O21" i="1"/>
  <c r="R21" i="1" s="1"/>
  <c r="O24" i="1"/>
  <c r="R24" i="1" s="1"/>
  <c r="O39" i="1"/>
  <c r="R39" i="1" s="1"/>
  <c r="O37" i="1"/>
  <c r="R37" i="1" s="1"/>
  <c r="R18" i="1" l="1"/>
  <c r="C18" i="1"/>
  <c r="F18" i="1"/>
  <c r="F19" i="1" s="1"/>
</calcChain>
</file>

<file path=xl/sharedStrings.xml><?xml version="1.0" encoding="utf-8"?>
<sst xmlns="http://schemas.openxmlformats.org/spreadsheetml/2006/main" count="113" uniqueCount="58">
  <si>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</si>
  <si>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</si>
  <si>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</si>
  <si>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</si>
  <si>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</si>
  <si>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</si>
  <si>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</si>
  <si>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</si>
  <si>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</si>
  <si>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</si>
  <si>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</si>
  <si>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</si>
  <si>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</si>
  <si>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</si>
  <si>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</si>
  <si>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</si>
  <si>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</si>
  <si>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</si>
  <si>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</si>
  <si>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</si>
  <si>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</si>
  <si>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</si>
  <si>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</si>
  <si>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</si>
  <si>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</si>
  <si>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</si>
  <si>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</si>
  <si>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</si>
  <si>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</si>
  <si>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</si>
  <si>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</si>
  <si>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</si>
  <si>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</si>
  <si>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</si>
  <si>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</si>
  <si>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</si>
  <si>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</si>
  <si>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Harvard</t>
  </si>
  <si>
    <t>NSVS</t>
  </si>
  <si>
    <t>S-WASP</t>
  </si>
  <si>
    <t>Samec</t>
  </si>
  <si>
    <t>Polakis</t>
  </si>
  <si>
    <t>I</t>
  </si>
  <si>
    <t>II</t>
  </si>
  <si>
    <t>Andy Odel 2017-04-18</t>
  </si>
  <si>
    <t>CVn</t>
  </si>
  <si>
    <t>E</t>
  </si>
  <si>
    <t>pg</t>
  </si>
  <si>
    <t>CCD</t>
  </si>
  <si>
    <t>PE</t>
  </si>
  <si>
    <r>
      <t>diff</t>
    </r>
    <r>
      <rPr>
        <b/>
        <vertAlign val="superscript"/>
        <sz val="10"/>
        <rFont val="Arial"/>
        <family val="2"/>
      </rPr>
      <t>2</t>
    </r>
  </si>
  <si>
    <t>Period confirmed by ToMcat 2017-05-05</t>
  </si>
  <si>
    <t>vis</t>
  </si>
  <si>
    <t>RHN 2019</t>
  </si>
  <si>
    <t>NSVS 5066754 / GSC 3460-2083</t>
  </si>
  <si>
    <t>OEJV 234</t>
  </si>
  <si>
    <t>S5</t>
  </si>
  <si>
    <t>Nelson pers 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</si>
</sst>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2" fillId="0" borderId="0" xfId="0" applyFont="1" applyAlignment="1"/>
    <xf numFmtId="0" fontId="17" fillId="0" borderId="0" xfId="0" applyFont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3460-2083 -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3.1934799262671731E-3</c:v>
                </c:pt>
                <c:pt idx="1">
                  <c:v>-3.1519997719442472E-5</c:v>
                </c:pt>
                <c:pt idx="2">
                  <c:v>-4.0442399949824903E-3</c:v>
                </c:pt>
                <c:pt idx="3">
                  <c:v>6.1768000159645453E-4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D-471A-92CF-D1E76EA08B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-2.1541599999181926E-3</c:v>
                </c:pt>
                <c:pt idx="5">
                  <c:v>-4.1781599938985892E-3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D-471A-92CF-D1E76EA08B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D-471A-92CF-D1E76EA08B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-2.50320001214277E-4</c:v>
                </c:pt>
                <c:pt idx="7">
                  <c:v>1.4855999979772605E-3</c:v>
                </c:pt>
                <c:pt idx="8">
                  <c:v>3.1304800068028271E-3</c:v>
                </c:pt>
                <c:pt idx="9">
                  <c:v>2.6288000663043931E-4</c:v>
                </c:pt>
                <c:pt idx="10">
                  <c:v>1.6624000054434873E-3</c:v>
                </c:pt>
                <c:pt idx="11">
                  <c:v>7.9120000009424984E-4</c:v>
                </c:pt>
                <c:pt idx="12">
                  <c:v>-2.2690799960400909E-3</c:v>
                </c:pt>
                <c:pt idx="13">
                  <c:v>-4.497600020840764E-4</c:v>
                </c:pt>
                <c:pt idx="14">
                  <c:v>2.684600003703963E-3</c:v>
                </c:pt>
                <c:pt idx="15">
                  <c:v>2.7282000082777813E-3</c:v>
                </c:pt>
                <c:pt idx="16">
                  <c:v>2.2625600031460635E-3</c:v>
                </c:pt>
                <c:pt idx="17">
                  <c:v>1.3000000035390258E-3</c:v>
                </c:pt>
                <c:pt idx="18">
                  <c:v>-5.0075499966624193E-3</c:v>
                </c:pt>
                <c:pt idx="19">
                  <c:v>-3.202410000085365E-3</c:v>
                </c:pt>
                <c:pt idx="20">
                  <c:v>-4.2458799944142811E-3</c:v>
                </c:pt>
                <c:pt idx="21">
                  <c:v>-8.5036399977980182E-3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D-471A-92CF-D1E76EA08B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BD-471A-92CF-D1E76EA08B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BD-471A-92CF-D1E76EA08B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4.0000000000000002E-4</c:v>
                  </c:pt>
                  <c:pt idx="2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BD-471A-92CF-D1E76EA08B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1.5818894432541732E-2</c:v>
                </c:pt>
                <c:pt idx="1">
                  <c:v>1.5190645491153393E-2</c:v>
                </c:pt>
                <c:pt idx="2">
                  <c:v>1.412340065231352E-2</c:v>
                </c:pt>
                <c:pt idx="3">
                  <c:v>5.4088650709884015E-3</c:v>
                </c:pt>
                <c:pt idx="4">
                  <c:v>1.9111307877474107E-3</c:v>
                </c:pt>
                <c:pt idx="5">
                  <c:v>1.7332195831064648E-3</c:v>
                </c:pt>
                <c:pt idx="6">
                  <c:v>8.2765155148405156E-4</c:v>
                </c:pt>
                <c:pt idx="7">
                  <c:v>7.6960802096994298E-4</c:v>
                </c:pt>
                <c:pt idx="8">
                  <c:v>4.0733633051981757E-4</c:v>
                </c:pt>
                <c:pt idx="9">
                  <c:v>2.3053707090787794E-4</c:v>
                </c:pt>
                <c:pt idx="10">
                  <c:v>2.2697884681505891E-4</c:v>
                </c:pt>
                <c:pt idx="11">
                  <c:v>1.6248603513271628E-4</c:v>
                </c:pt>
                <c:pt idx="12">
                  <c:v>-2.9546871376604422E-5</c:v>
                </c:pt>
                <c:pt idx="13">
                  <c:v>-1.3457562022109004E-3</c:v>
                </c:pt>
                <c:pt idx="14">
                  <c:v>-1.3458673967138009E-3</c:v>
                </c:pt>
                <c:pt idx="15">
                  <c:v>-1.3469793417428069E-3</c:v>
                </c:pt>
                <c:pt idx="16">
                  <c:v>-1.3470905362457074E-3</c:v>
                </c:pt>
                <c:pt idx="17">
                  <c:v>-1.3475353142573098E-3</c:v>
                </c:pt>
                <c:pt idx="18">
                  <c:v>-1.9748946996224442E-3</c:v>
                </c:pt>
                <c:pt idx="19">
                  <c:v>-1.9754506721369474E-3</c:v>
                </c:pt>
                <c:pt idx="20">
                  <c:v>-2.3779747726370868E-3</c:v>
                </c:pt>
                <c:pt idx="21">
                  <c:v>-3.0656015785743415E-3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BD-471A-92CF-D1E76EA08B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-77191</c:v>
                </c:pt>
                <c:pt idx="1">
                  <c:v>-74366</c:v>
                </c:pt>
                <c:pt idx="2">
                  <c:v>-69567</c:v>
                </c:pt>
                <c:pt idx="3">
                  <c:v>-30381</c:v>
                </c:pt>
                <c:pt idx="4">
                  <c:v>-14653</c:v>
                </c:pt>
                <c:pt idx="5">
                  <c:v>-13853</c:v>
                </c:pt>
                <c:pt idx="6">
                  <c:v>-9781</c:v>
                </c:pt>
                <c:pt idx="7">
                  <c:v>-9520</c:v>
                </c:pt>
                <c:pt idx="8">
                  <c:v>-7891</c:v>
                </c:pt>
                <c:pt idx="9">
                  <c:v>-7096</c:v>
                </c:pt>
                <c:pt idx="10">
                  <c:v>-7080</c:v>
                </c:pt>
                <c:pt idx="11">
                  <c:v>-6790</c:v>
                </c:pt>
                <c:pt idx="12">
                  <c:v>-5926.5</c:v>
                </c:pt>
                <c:pt idx="13">
                  <c:v>-8</c:v>
                </c:pt>
                <c:pt idx="14">
                  <c:v>-7.5</c:v>
                </c:pt>
                <c:pt idx="15">
                  <c:v>-2.5</c:v>
                </c:pt>
                <c:pt idx="16">
                  <c:v>-2</c:v>
                </c:pt>
                <c:pt idx="17">
                  <c:v>0</c:v>
                </c:pt>
                <c:pt idx="18">
                  <c:v>2821</c:v>
                </c:pt>
                <c:pt idx="19">
                  <c:v>2823.5</c:v>
                </c:pt>
                <c:pt idx="20">
                  <c:v>4633.5</c:v>
                </c:pt>
                <c:pt idx="21">
                  <c:v>7725.5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BD-471A-92CF-D1E76EA08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081560"/>
        <c:axId val="1"/>
      </c:scatterChart>
      <c:valAx>
        <c:axId val="578081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081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44360902255639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38100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E119D0-DD6C-CB6C-6882-8F4EE72CE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1: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54</v>
      </c>
    </row>
    <row r="2" spans="1:6" x14ac:dyDescent="0.2">
      <c r="A2" t="s">
        <v>23</v>
      </c>
      <c r="B2" t="s">
        <v>46</v>
      </c>
      <c r="C2" s="30" t="s">
        <v>45</v>
      </c>
      <c r="D2" s="3"/>
    </row>
    <row r="3" spans="1:6" ht="13.5" thickBot="1" x14ac:dyDescent="0.25">
      <c r="A3" s="32" t="s">
        <v>51</v>
      </c>
    </row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1</v>
      </c>
    </row>
    <row r="7" spans="1:6" x14ac:dyDescent="0.2">
      <c r="A7" t="s">
        <v>2</v>
      </c>
      <c r="C7" s="36">
        <v>56797.637799999997</v>
      </c>
      <c r="D7" s="29" t="s">
        <v>44</v>
      </c>
    </row>
    <row r="8" spans="1:6" x14ac:dyDescent="0.2">
      <c r="A8" t="s">
        <v>3</v>
      </c>
      <c r="C8" s="36">
        <v>0.37513128000000001</v>
      </c>
      <c r="D8" s="29" t="str">
        <f>D7</f>
        <v>Andy Odel 2017-04-18</v>
      </c>
    </row>
    <row r="9" spans="1:6" x14ac:dyDescent="0.2">
      <c r="A9" s="24" t="s">
        <v>31</v>
      </c>
      <c r="B9" s="25">
        <v>26</v>
      </c>
      <c r="C9" s="22" t="str">
        <f>"F"&amp;B9</f>
        <v>F26</v>
      </c>
      <c r="D9" s="23" t="str">
        <f>"G"&amp;B9</f>
        <v>G26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-1.3475353142573098E-3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-2.2238900580118203E-7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59695.523872509613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0.37513105761099419</v>
      </c>
      <c r="E16" s="14" t="s">
        <v>29</v>
      </c>
      <c r="F16" s="15">
        <f ca="1">NOW()+15018.5+$C$5/24</f>
        <v>60339.759396412031</v>
      </c>
    </row>
    <row r="17" spans="1:24" ht="13.5" thickBot="1" x14ac:dyDescent="0.25">
      <c r="A17" s="14" t="s">
        <v>26</v>
      </c>
      <c r="B17" s="10"/>
      <c r="C17" s="10">
        <f>COUNT(C21:C2191)</f>
        <v>22</v>
      </c>
      <c r="E17" s="14" t="s">
        <v>34</v>
      </c>
      <c r="F17" s="15">
        <f ca="1">ROUND(2*(F16-$C$7)/$C$8,0)/2+F15</f>
        <v>9443.5</v>
      </c>
    </row>
    <row r="18" spans="1:24" ht="14.25" thickTop="1" thickBot="1" x14ac:dyDescent="0.25">
      <c r="A18" s="16" t="s">
        <v>5</v>
      </c>
      <c r="B18" s="10"/>
      <c r="C18" s="19">
        <f ca="1">+C15</f>
        <v>59695.523872509613</v>
      </c>
      <c r="D18" s="20">
        <f ca="1">+C16</f>
        <v>0.37513105761099419</v>
      </c>
      <c r="E18" s="14" t="s">
        <v>35</v>
      </c>
      <c r="F18" s="23">
        <f ca="1">ROUND(2*(F16-$C$15)/$C$16,0)/2+F15</f>
        <v>1718.5</v>
      </c>
      <c r="R18">
        <f ca="1">SQRT(SUM(R21:R53)/(COUNT(R21:R53)-1))</f>
        <v>6.5814487609312418E-3</v>
      </c>
    </row>
    <row r="19" spans="1:24" ht="13.5" thickTop="1" x14ac:dyDescent="0.2">
      <c r="E19" s="14" t="s">
        <v>30</v>
      </c>
      <c r="F19" s="18">
        <f ca="1">+$C$15+$C$16*F18-15018.5-$C$5/24</f>
        <v>45322.082428347443</v>
      </c>
    </row>
    <row r="20" spans="1:24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52</v>
      </c>
      <c r="J20" s="7" t="s">
        <v>49</v>
      </c>
      <c r="K20" s="7" t="s">
        <v>48</v>
      </c>
      <c r="L20" s="7" t="s">
        <v>56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R20" s="6" t="s">
        <v>50</v>
      </c>
      <c r="U20" s="26" t="s">
        <v>32</v>
      </c>
    </row>
    <row r="21" spans="1:24" x14ac:dyDescent="0.2">
      <c r="A21" t="s">
        <v>37</v>
      </c>
      <c r="B21" s="3" t="s">
        <v>42</v>
      </c>
      <c r="C21" s="8">
        <v>27840.882358999923</v>
      </c>
      <c r="D21" s="8" t="s">
        <v>13</v>
      </c>
      <c r="E21">
        <f>+(C21-C$7)/C$8</f>
        <v>-77190.991487033752</v>
      </c>
      <c r="F21">
        <f>ROUND(2*E21,0)/2</f>
        <v>-77191</v>
      </c>
      <c r="G21" s="31">
        <f t="shared" ref="G21:G40" si="0">+C21-(C$7+F21*C$8)</f>
        <v>3.1934799262671731E-3</v>
      </c>
      <c r="H21">
        <f>+G21</f>
        <v>3.1934799262671731E-3</v>
      </c>
      <c r="O21">
        <f ca="1">+C$11+C$12*$F21</f>
        <v>1.5818894432541732E-2</v>
      </c>
      <c r="Q21" s="2">
        <f>+C21-15018.5</f>
        <v>12822.382358999923</v>
      </c>
      <c r="R21">
        <f ca="1">(O21-G21)^2</f>
        <v>1.5940109145524807E-4</v>
      </c>
      <c r="X21">
        <v>-77191</v>
      </c>
    </row>
    <row r="22" spans="1:24" x14ac:dyDescent="0.2">
      <c r="A22" t="s">
        <v>37</v>
      </c>
      <c r="B22" s="3" t="s">
        <v>42</v>
      </c>
      <c r="C22" s="8">
        <v>28900.625</v>
      </c>
      <c r="D22" s="8" t="s">
        <v>13</v>
      </c>
      <c r="E22">
        <f t="shared" ref="E22:E40" si="1">+(C22-C$7)/C$8</f>
        <v>-74366.000084023908</v>
      </c>
      <c r="F22">
        <f t="shared" ref="F22:F41" si="2">ROUND(2*E22,0)/2</f>
        <v>-74366</v>
      </c>
      <c r="G22" s="31">
        <f t="shared" si="0"/>
        <v>-3.1519997719442472E-5</v>
      </c>
      <c r="H22">
        <f>+G22</f>
        <v>-3.1519997719442472E-5</v>
      </c>
      <c r="O22">
        <f t="shared" ref="O22:O40" ca="1" si="3">+C$11+C$12*$F22</f>
        <v>1.5190645491153393E-2</v>
      </c>
      <c r="Q22" s="2">
        <f t="shared" ref="Q22:Q40" si="4">+C22-15018.5</f>
        <v>13882.125</v>
      </c>
      <c r="R22">
        <f t="shared" ref="R22:R40" ca="1" si="5">(O22-G22)^2</f>
        <v>2.3171432217063118E-4</v>
      </c>
      <c r="U22" t="str">
        <f>IF(ABS(C22-C21)&lt;0.00001,1,"")</f>
        <v/>
      </c>
      <c r="X22">
        <v>-74366</v>
      </c>
    </row>
    <row r="23" spans="1:24" x14ac:dyDescent="0.2">
      <c r="A23" t="s">
        <v>37</v>
      </c>
      <c r="B23" s="3" t="s">
        <v>42</v>
      </c>
      <c r="C23" s="8">
        <v>30700.876</v>
      </c>
      <c r="D23" s="8" t="s">
        <v>13</v>
      </c>
      <c r="E23">
        <f t="shared" si="1"/>
        <v>-69567.010780865821</v>
      </c>
      <c r="F23">
        <f t="shared" si="2"/>
        <v>-69567</v>
      </c>
      <c r="G23" s="31">
        <f t="shared" si="0"/>
        <v>-4.0442399949824903E-3</v>
      </c>
      <c r="H23">
        <f>+G23</f>
        <v>-4.0442399949824903E-3</v>
      </c>
      <c r="O23">
        <f t="shared" ca="1" si="3"/>
        <v>1.412340065231352E-2</v>
      </c>
      <c r="Q23" s="2">
        <f t="shared" si="4"/>
        <v>15682.376</v>
      </c>
      <c r="R23">
        <f t="shared" ca="1" si="5"/>
        <v>3.3006316668928224E-4</v>
      </c>
      <c r="X23">
        <v>-69567</v>
      </c>
    </row>
    <row r="24" spans="1:24" x14ac:dyDescent="0.2">
      <c r="A24" t="s">
        <v>37</v>
      </c>
      <c r="B24" s="3" t="s">
        <v>42</v>
      </c>
      <c r="C24" s="8">
        <v>45400.775000000001</v>
      </c>
      <c r="D24" s="8" t="s">
        <v>13</v>
      </c>
      <c r="E24">
        <f t="shared" si="1"/>
        <v>-30380.99835342975</v>
      </c>
      <c r="F24">
        <f t="shared" si="2"/>
        <v>-30381</v>
      </c>
      <c r="G24" s="31">
        <f t="shared" si="0"/>
        <v>6.1768000159645453E-4</v>
      </c>
      <c r="H24">
        <f>+G24</f>
        <v>6.1768000159645453E-4</v>
      </c>
      <c r="O24">
        <f t="shared" ca="1" si="3"/>
        <v>5.4088650709884015E-3</v>
      </c>
      <c r="Q24" s="2">
        <f t="shared" si="4"/>
        <v>30382.275000000001</v>
      </c>
      <c r="R24">
        <f t="shared" ca="1" si="5"/>
        <v>2.2955454369164316E-5</v>
      </c>
      <c r="X24">
        <v>-30381</v>
      </c>
    </row>
    <row r="25" spans="1:24" x14ac:dyDescent="0.2">
      <c r="A25" t="s">
        <v>38</v>
      </c>
      <c r="B25" s="3" t="s">
        <v>42</v>
      </c>
      <c r="C25" s="8">
        <v>51300.837</v>
      </c>
      <c r="D25" s="8" t="s">
        <v>13</v>
      </c>
      <c r="E25">
        <f t="shared" si="1"/>
        <v>-14653.005742416353</v>
      </c>
      <c r="F25">
        <f t="shared" si="2"/>
        <v>-14653</v>
      </c>
      <c r="G25" s="31">
        <f t="shared" si="0"/>
        <v>-2.1541599999181926E-3</v>
      </c>
      <c r="I25">
        <f>+G25</f>
        <v>-2.1541599999181926E-3</v>
      </c>
      <c r="O25">
        <f t="shared" ca="1" si="3"/>
        <v>1.9111307877474107E-3</v>
      </c>
      <c r="Q25" s="2">
        <f t="shared" si="4"/>
        <v>36282.337</v>
      </c>
      <c r="R25">
        <f t="shared" ca="1" si="5"/>
        <v>1.6526589188278824E-5</v>
      </c>
      <c r="X25">
        <v>-14653</v>
      </c>
    </row>
    <row r="26" spans="1:24" x14ac:dyDescent="0.2">
      <c r="A26" t="s">
        <v>38</v>
      </c>
      <c r="B26" s="3" t="s">
        <v>42</v>
      </c>
      <c r="C26" s="8">
        <v>51600.94</v>
      </c>
      <c r="D26" s="8" t="s">
        <v>13</v>
      </c>
      <c r="E26">
        <f t="shared" si="1"/>
        <v>-13853.011137860842</v>
      </c>
      <c r="F26">
        <f t="shared" si="2"/>
        <v>-13853</v>
      </c>
      <c r="G26" s="31">
        <f t="shared" si="0"/>
        <v>-4.1781599938985892E-3</v>
      </c>
      <c r="I26">
        <f>+G26</f>
        <v>-4.1781599938985892E-3</v>
      </c>
      <c r="O26">
        <f t="shared" ca="1" si="3"/>
        <v>1.7332195831064648E-3</v>
      </c>
      <c r="Q26" s="2">
        <f t="shared" si="4"/>
        <v>36582.44</v>
      </c>
      <c r="R26">
        <f t="shared" ca="1" si="5"/>
        <v>3.4944408503432459E-5</v>
      </c>
      <c r="X26">
        <v>-13853</v>
      </c>
    </row>
    <row r="27" spans="1:24" x14ac:dyDescent="0.2">
      <c r="A27" t="s">
        <v>39</v>
      </c>
      <c r="B27" s="3" t="s">
        <v>42</v>
      </c>
      <c r="C27" s="8">
        <v>53128.478499999997</v>
      </c>
      <c r="D27" s="8" t="s">
        <v>13</v>
      </c>
      <c r="E27">
        <f t="shared" si="1"/>
        <v>-9781.0006672863947</v>
      </c>
      <c r="F27">
        <f t="shared" si="2"/>
        <v>-9781</v>
      </c>
      <c r="G27" s="31">
        <f t="shared" si="0"/>
        <v>-2.50320001214277E-4</v>
      </c>
      <c r="K27">
        <f t="shared" ref="K27:K40" si="6">+G27</f>
        <v>-2.50320001214277E-4</v>
      </c>
      <c r="O27">
        <f t="shared" ca="1" si="3"/>
        <v>8.2765155148405156E-4</v>
      </c>
      <c r="Q27" s="2">
        <f t="shared" si="4"/>
        <v>38109.978499999997</v>
      </c>
      <c r="R27">
        <f t="shared" ca="1" si="5"/>
        <v>1.1620226684268454E-6</v>
      </c>
      <c r="X27">
        <v>-9781</v>
      </c>
    </row>
    <row r="28" spans="1:24" x14ac:dyDescent="0.2">
      <c r="A28" t="s">
        <v>39</v>
      </c>
      <c r="B28" s="3" t="s">
        <v>42</v>
      </c>
      <c r="C28" s="8">
        <v>53226.389499999997</v>
      </c>
      <c r="D28" s="8" t="s">
        <v>13</v>
      </c>
      <c r="E28">
        <f t="shared" si="1"/>
        <v>-9519.9960397863888</v>
      </c>
      <c r="F28">
        <f t="shared" si="2"/>
        <v>-9520</v>
      </c>
      <c r="G28" s="31">
        <f t="shared" si="0"/>
        <v>1.4855999979772605E-3</v>
      </c>
      <c r="K28">
        <f t="shared" si="6"/>
        <v>1.4855999979772605E-3</v>
      </c>
      <c r="O28">
        <f t="shared" ca="1" si="3"/>
        <v>7.6960802096994298E-4</v>
      </c>
      <c r="Q28" s="2">
        <f t="shared" si="4"/>
        <v>38207.889499999997</v>
      </c>
      <c r="R28">
        <f t="shared" ca="1" si="5"/>
        <v>5.1264451113884709E-7</v>
      </c>
      <c r="X28">
        <v>-9520</v>
      </c>
    </row>
    <row r="29" spans="1:24" x14ac:dyDescent="0.2">
      <c r="A29" t="s">
        <v>39</v>
      </c>
      <c r="B29" s="3" t="s">
        <v>42</v>
      </c>
      <c r="C29" s="8">
        <v>53837.48</v>
      </c>
      <c r="D29" s="8" t="s">
        <v>13</v>
      </c>
      <c r="E29">
        <f t="shared" si="1"/>
        <v>-7890.9916549747422</v>
      </c>
      <c r="F29">
        <f t="shared" si="2"/>
        <v>-7891</v>
      </c>
      <c r="G29" s="31">
        <f t="shared" si="0"/>
        <v>3.1304800068028271E-3</v>
      </c>
      <c r="K29">
        <f t="shared" si="6"/>
        <v>3.1304800068028271E-3</v>
      </c>
      <c r="O29">
        <f t="shared" ca="1" si="3"/>
        <v>4.0733633051981757E-4</v>
      </c>
      <c r="Q29" s="2">
        <f t="shared" si="4"/>
        <v>38818.980000000003</v>
      </c>
      <c r="R29">
        <f t="shared" ca="1" si="5"/>
        <v>7.4155114816801446E-6</v>
      </c>
      <c r="X29">
        <v>-7891</v>
      </c>
    </row>
    <row r="30" spans="1:24" x14ac:dyDescent="0.2">
      <c r="A30" t="s">
        <v>39</v>
      </c>
      <c r="B30" s="3" t="s">
        <v>42</v>
      </c>
      <c r="C30" s="8">
        <v>54135.7065</v>
      </c>
      <c r="D30" s="8" t="s">
        <v>13</v>
      </c>
      <c r="E30">
        <f t="shared" si="1"/>
        <v>-7095.9992992319821</v>
      </c>
      <c r="F30">
        <f t="shared" si="2"/>
        <v>-7096</v>
      </c>
      <c r="G30" s="31">
        <f t="shared" si="0"/>
        <v>2.6288000663043931E-4</v>
      </c>
      <c r="K30">
        <f t="shared" si="6"/>
        <v>2.6288000663043931E-4</v>
      </c>
      <c r="O30">
        <f t="shared" ca="1" si="3"/>
        <v>2.3053707090787794E-4</v>
      </c>
      <c r="Q30" s="2">
        <f t="shared" si="4"/>
        <v>39117.2065</v>
      </c>
      <c r="R30">
        <f t="shared" ca="1" si="5"/>
        <v>1.0460654911537367E-9</v>
      </c>
      <c r="X30">
        <v>-7096</v>
      </c>
    </row>
    <row r="31" spans="1:24" x14ac:dyDescent="0.2">
      <c r="A31" t="s">
        <v>39</v>
      </c>
      <c r="B31" s="3" t="s">
        <v>42</v>
      </c>
      <c r="C31" s="8">
        <v>54141.71</v>
      </c>
      <c r="D31" s="8" t="s">
        <v>13</v>
      </c>
      <c r="E31">
        <f t="shared" si="1"/>
        <v>-7079.9955684847118</v>
      </c>
      <c r="F31">
        <f t="shared" si="2"/>
        <v>-7080</v>
      </c>
      <c r="G31" s="31">
        <f t="shared" si="0"/>
        <v>1.6624000054434873E-3</v>
      </c>
      <c r="K31">
        <f t="shared" si="6"/>
        <v>1.6624000054434873E-3</v>
      </c>
      <c r="O31">
        <f t="shared" ca="1" si="3"/>
        <v>2.2697884681505891E-4</v>
      </c>
      <c r="Q31" s="2">
        <f t="shared" si="4"/>
        <v>39123.21</v>
      </c>
      <c r="R31">
        <f t="shared" ca="1" si="5"/>
        <v>2.0604339026381798E-6</v>
      </c>
      <c r="X31">
        <v>-7080</v>
      </c>
    </row>
    <row r="32" spans="1:24" x14ac:dyDescent="0.2">
      <c r="A32" t="s">
        <v>39</v>
      </c>
      <c r="B32" s="3" t="s">
        <v>42</v>
      </c>
      <c r="C32" s="8">
        <v>54250.497199999998</v>
      </c>
      <c r="D32" s="8" t="s">
        <v>13</v>
      </c>
      <c r="E32">
        <f t="shared" si="1"/>
        <v>-6789.9978908716939</v>
      </c>
      <c r="F32">
        <f t="shared" si="2"/>
        <v>-6790</v>
      </c>
      <c r="G32" s="31">
        <f t="shared" si="0"/>
        <v>7.9120000009424984E-4</v>
      </c>
      <c r="K32">
        <f t="shared" si="6"/>
        <v>7.9120000009424984E-4</v>
      </c>
      <c r="O32">
        <f t="shared" ca="1" si="3"/>
        <v>1.6248603513271628E-4</v>
      </c>
      <c r="Q32" s="2">
        <f t="shared" si="4"/>
        <v>39231.997199999998</v>
      </c>
      <c r="R32">
        <f t="shared" ca="1" si="5"/>
        <v>3.9528124973765247E-7</v>
      </c>
      <c r="X32">
        <v>-6790</v>
      </c>
    </row>
    <row r="33" spans="1:26" x14ac:dyDescent="0.2">
      <c r="A33" t="s">
        <v>39</v>
      </c>
      <c r="B33" s="3" t="s">
        <v>43</v>
      </c>
      <c r="C33" s="8">
        <v>54574.42</v>
      </c>
      <c r="D33" s="8" t="s">
        <v>13</v>
      </c>
      <c r="E33">
        <f t="shared" si="1"/>
        <v>-5926.5060487624451</v>
      </c>
      <c r="F33">
        <f t="shared" si="2"/>
        <v>-5926.5</v>
      </c>
      <c r="G33" s="31">
        <f t="shared" si="0"/>
        <v>-2.2690799960400909E-3</v>
      </c>
      <c r="K33">
        <f t="shared" si="6"/>
        <v>-2.2690799960400909E-3</v>
      </c>
      <c r="O33">
        <f t="shared" ca="1" si="3"/>
        <v>-2.9546871376604422E-5</v>
      </c>
      <c r="Q33" s="2">
        <f t="shared" si="4"/>
        <v>39555.919999999998</v>
      </c>
      <c r="R33">
        <f t="shared" ca="1" si="5"/>
        <v>5.0155086164649986E-6</v>
      </c>
      <c r="X33">
        <v>-5926.5</v>
      </c>
    </row>
    <row r="34" spans="1:26" x14ac:dyDescent="0.2">
      <c r="A34" t="s">
        <v>40</v>
      </c>
      <c r="B34" s="3" t="s">
        <v>42</v>
      </c>
      <c r="C34" s="8">
        <v>56794.636299999998</v>
      </c>
      <c r="D34" s="8" t="s">
        <v>13</v>
      </c>
      <c r="E34">
        <f t="shared" si="1"/>
        <v>-8.0011989402709531</v>
      </c>
      <c r="F34">
        <f t="shared" si="2"/>
        <v>-8</v>
      </c>
      <c r="G34" s="31">
        <f t="shared" si="0"/>
        <v>-4.497600020840764E-4</v>
      </c>
      <c r="K34">
        <f t="shared" si="6"/>
        <v>-4.497600020840764E-4</v>
      </c>
      <c r="O34">
        <f t="shared" ca="1" si="3"/>
        <v>-1.3457562022109004E-3</v>
      </c>
      <c r="Q34" s="2">
        <f t="shared" si="4"/>
        <v>41776.136299999998</v>
      </c>
      <c r="R34">
        <f t="shared" ca="1" si="5"/>
        <v>8.0280919064170766E-7</v>
      </c>
      <c r="X34">
        <v>-8</v>
      </c>
    </row>
    <row r="35" spans="1:26" x14ac:dyDescent="0.2">
      <c r="A35" t="s">
        <v>40</v>
      </c>
      <c r="B35" s="3" t="s">
        <v>43</v>
      </c>
      <c r="C35" s="8">
        <v>56794.826999999997</v>
      </c>
      <c r="D35" s="8" t="s">
        <v>13</v>
      </c>
      <c r="E35">
        <f t="shared" si="1"/>
        <v>-7.4928435719870912</v>
      </c>
      <c r="F35">
        <f t="shared" si="2"/>
        <v>-7.5</v>
      </c>
      <c r="G35" s="31">
        <f t="shared" si="0"/>
        <v>2.684600003703963E-3</v>
      </c>
      <c r="K35">
        <f t="shared" si="6"/>
        <v>2.684600003703963E-3</v>
      </c>
      <c r="O35">
        <f t="shared" ca="1" si="3"/>
        <v>-1.3458673967138009E-3</v>
      </c>
      <c r="Q35" s="2">
        <f t="shared" si="4"/>
        <v>41776.326999999997</v>
      </c>
      <c r="R35">
        <f t="shared" ca="1" si="5"/>
        <v>1.624466746583033E-5</v>
      </c>
      <c r="X35">
        <v>-7.5</v>
      </c>
    </row>
    <row r="36" spans="1:26" x14ac:dyDescent="0.2">
      <c r="A36" t="s">
        <v>40</v>
      </c>
      <c r="B36" s="3" t="s">
        <v>43</v>
      </c>
      <c r="C36" s="8">
        <v>56796.702700000002</v>
      </c>
      <c r="D36" s="8" t="s">
        <v>13</v>
      </c>
      <c r="E36">
        <f t="shared" si="1"/>
        <v>-2.4927273459977677</v>
      </c>
      <c r="F36">
        <f t="shared" si="2"/>
        <v>-2.5</v>
      </c>
      <c r="G36" s="31">
        <f t="shared" si="0"/>
        <v>2.7282000082777813E-3</v>
      </c>
      <c r="K36">
        <f t="shared" si="6"/>
        <v>2.7282000082777813E-3</v>
      </c>
      <c r="O36">
        <f t="shared" ca="1" si="3"/>
        <v>-1.3469793417428069E-3</v>
      </c>
      <c r="Q36" s="2">
        <f t="shared" si="4"/>
        <v>41778.202700000002</v>
      </c>
      <c r="R36">
        <f t="shared" ca="1" si="5"/>
        <v>1.6607086734834222E-5</v>
      </c>
      <c r="X36">
        <v>-2.5</v>
      </c>
    </row>
    <row r="37" spans="1:26" x14ac:dyDescent="0.2">
      <c r="A37" t="s">
        <v>40</v>
      </c>
      <c r="B37" s="3" t="s">
        <v>42</v>
      </c>
      <c r="C37" s="8">
        <v>56796.889799999997</v>
      </c>
      <c r="D37" s="8" t="s">
        <v>13</v>
      </c>
      <c r="E37">
        <f t="shared" si="1"/>
        <v>-1.9939686181317444</v>
      </c>
      <c r="F37">
        <f t="shared" si="2"/>
        <v>-2</v>
      </c>
      <c r="G37" s="31">
        <f t="shared" si="0"/>
        <v>2.2625600031460635E-3</v>
      </c>
      <c r="K37">
        <f t="shared" si="6"/>
        <v>2.2625600031460635E-3</v>
      </c>
      <c r="O37">
        <f t="shared" ca="1" si="3"/>
        <v>-1.3470905362457074E-3</v>
      </c>
      <c r="Q37" s="2">
        <f t="shared" si="4"/>
        <v>41778.389799999997</v>
      </c>
      <c r="R37">
        <f t="shared" ca="1" si="5"/>
        <v>1.3029577016531302E-5</v>
      </c>
      <c r="X37">
        <v>-2</v>
      </c>
    </row>
    <row r="38" spans="1:26" x14ac:dyDescent="0.2">
      <c r="A38" t="s">
        <v>40</v>
      </c>
      <c r="B38" s="3" t="s">
        <v>42</v>
      </c>
      <c r="C38" s="8">
        <v>56797.6391</v>
      </c>
      <c r="D38" s="8" t="s">
        <v>13</v>
      </c>
      <c r="E38">
        <f t="shared" si="1"/>
        <v>3.4654534901462381E-3</v>
      </c>
      <c r="F38">
        <f t="shared" si="2"/>
        <v>0</v>
      </c>
      <c r="G38" s="31">
        <f t="shared" si="0"/>
        <v>1.3000000035390258E-3</v>
      </c>
      <c r="K38">
        <f t="shared" si="6"/>
        <v>1.3000000035390258E-3</v>
      </c>
      <c r="O38">
        <f t="shared" ca="1" si="3"/>
        <v>-1.3475353142573098E-3</v>
      </c>
      <c r="Q38" s="2">
        <f t="shared" si="4"/>
        <v>41779.1391</v>
      </c>
      <c r="R38">
        <f t="shared" ca="1" si="5"/>
        <v>7.0094432589789441E-6</v>
      </c>
      <c r="X38">
        <v>0</v>
      </c>
    </row>
    <row r="39" spans="1:26" x14ac:dyDescent="0.2">
      <c r="A39" t="s">
        <v>41</v>
      </c>
      <c r="B39" s="3" t="s">
        <v>42</v>
      </c>
      <c r="C39" s="8">
        <v>57855.878133329999</v>
      </c>
      <c r="D39" s="8" t="s">
        <v>13</v>
      </c>
      <c r="E39">
        <f t="shared" si="1"/>
        <v>2820.9866512064859</v>
      </c>
      <c r="F39">
        <f t="shared" si="2"/>
        <v>2821</v>
      </c>
      <c r="G39" s="31">
        <f t="shared" si="0"/>
        <v>-5.0075499966624193E-3</v>
      </c>
      <c r="K39">
        <f t="shared" si="6"/>
        <v>-5.0075499966624193E-3</v>
      </c>
      <c r="O39">
        <f t="shared" ca="1" si="3"/>
        <v>-1.9748946996224442E-3</v>
      </c>
      <c r="Q39" s="2">
        <f t="shared" si="4"/>
        <v>42837.378133329999</v>
      </c>
      <c r="R39">
        <f t="shared" ca="1" si="5"/>
        <v>9.1969981506646198E-6</v>
      </c>
      <c r="X39">
        <v>2821</v>
      </c>
    </row>
    <row r="40" spans="1:26" x14ac:dyDescent="0.2">
      <c r="A40" t="s">
        <v>41</v>
      </c>
      <c r="B40" s="3" t="s">
        <v>43</v>
      </c>
      <c r="C40" s="8">
        <v>57856.817766669999</v>
      </c>
      <c r="D40" s="8" t="s">
        <v>13</v>
      </c>
      <c r="E40">
        <f t="shared" si="1"/>
        <v>2823.49146322856</v>
      </c>
      <c r="F40">
        <f t="shared" si="2"/>
        <v>2823.5</v>
      </c>
      <c r="G40" s="31">
        <f t="shared" si="0"/>
        <v>-3.202410000085365E-3</v>
      </c>
      <c r="K40">
        <f t="shared" si="6"/>
        <v>-3.202410000085365E-3</v>
      </c>
      <c r="O40">
        <f t="shared" ca="1" si="3"/>
        <v>-1.9754506721369474E-3</v>
      </c>
      <c r="Q40" s="2">
        <f t="shared" si="4"/>
        <v>42838.317766669999</v>
      </c>
      <c r="R40">
        <f t="shared" ca="1" si="5"/>
        <v>1.5054291924396328E-6</v>
      </c>
      <c r="X40">
        <v>2823.5</v>
      </c>
    </row>
    <row r="41" spans="1:26" x14ac:dyDescent="0.2">
      <c r="A41" s="5" t="s">
        <v>53</v>
      </c>
      <c r="C41" s="8">
        <v>58535.804340000002</v>
      </c>
      <c r="D41" s="8">
        <v>4.0000000000000002E-4</v>
      </c>
      <c r="E41">
        <f>+(C41-C$7)/C$8</f>
        <v>4633.4886816156886</v>
      </c>
      <c r="F41">
        <f t="shared" si="2"/>
        <v>4633.5</v>
      </c>
      <c r="G41" s="31">
        <f>+C41-(C$7+F41*C$8)</f>
        <v>-4.2458799944142811E-3</v>
      </c>
      <c r="K41">
        <f>+G41</f>
        <v>-4.2458799944142811E-3</v>
      </c>
      <c r="O41">
        <f ca="1">+C$11+C$12*$F41</f>
        <v>-2.3779747726370868E-3</v>
      </c>
      <c r="Q41" s="2">
        <f>+C41-15018.5</f>
        <v>43517.304340000002</v>
      </c>
      <c r="R41">
        <f ca="1">(O41-G41)^2</f>
        <v>3.4890699175425092E-6</v>
      </c>
      <c r="Z41" s="37" t="s">
        <v>57</v>
      </c>
    </row>
    <row r="42" spans="1:26" x14ac:dyDescent="0.2">
      <c r="A42" s="33" t="s">
        <v>55</v>
      </c>
      <c r="B42" s="34" t="s">
        <v>43</v>
      </c>
      <c r="C42" s="35">
        <v>59695.705999999998</v>
      </c>
      <c r="D42" s="35">
        <v>1E-3</v>
      </c>
      <c r="E42">
        <f>+(C42-C$7)/C$8</f>
        <v>7725.477331562437</v>
      </c>
      <c r="F42">
        <f t="shared" ref="F42" si="7">ROUND(2*E42,0)/2</f>
        <v>7725.5</v>
      </c>
      <c r="G42" s="31">
        <f>+C42-(C$7+F42*C$8)</f>
        <v>-8.5036399977980182E-3</v>
      </c>
      <c r="K42">
        <f>+G42</f>
        <v>-8.5036399977980182E-3</v>
      </c>
      <c r="O42">
        <f ca="1">+C$11+C$12*$F42</f>
        <v>-3.0656015785743415E-3</v>
      </c>
      <c r="Q42" s="2">
        <f>+C42-15018.5</f>
        <v>44677.205999999998</v>
      </c>
      <c r="R42">
        <f ca="1">(O42-G42)^2</f>
        <v>2.9572261848952745E-5</v>
      </c>
    </row>
    <row r="43" spans="1:26" x14ac:dyDescent="0.2">
      <c r="C43" s="8"/>
      <c r="D43" s="8"/>
    </row>
    <row r="44" spans="1:26" x14ac:dyDescent="0.2">
      <c r="C44" s="8"/>
      <c r="D44" s="8"/>
    </row>
    <row r="45" spans="1:26" x14ac:dyDescent="0.2">
      <c r="C45" s="8"/>
      <c r="D45" s="8"/>
    </row>
    <row r="46" spans="1:26" x14ac:dyDescent="0.2">
      <c r="C46" s="8"/>
      <c r="D46" s="8"/>
    </row>
    <row r="47" spans="1:26" x14ac:dyDescent="0.2">
      <c r="C47" s="8"/>
      <c r="D47" s="8"/>
    </row>
    <row r="48" spans="1:26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2024-01-30T05:13:31Z</dcterms:modified>
</cp:coreProperties>
</file>