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A0F4F98-1C44-4EB7-89DD-52E61E311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9" i="1" l="1"/>
  <c r="F59" i="1" s="1"/>
  <c r="G59" i="1" s="1"/>
  <c r="K59" i="1" s="1"/>
  <c r="Q59" i="1"/>
  <c r="E60" i="1"/>
  <c r="F60" i="1" s="1"/>
  <c r="G60" i="1" s="1"/>
  <c r="K60" i="1" s="1"/>
  <c r="Q60" i="1"/>
  <c r="E61" i="1"/>
  <c r="F61" i="1"/>
  <c r="G61" i="1"/>
  <c r="K61" i="1" s="1"/>
  <c r="Q61" i="1"/>
  <c r="E62" i="1"/>
  <c r="F62" i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/>
  <c r="G65" i="1"/>
  <c r="K65" i="1" s="1"/>
  <c r="Q65" i="1"/>
  <c r="E66" i="1"/>
  <c r="F66" i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58" i="1"/>
  <c r="F58" i="1"/>
  <c r="G58" i="1" s="1"/>
  <c r="K58" i="1" s="1"/>
  <c r="Q58" i="1"/>
  <c r="E52" i="1"/>
  <c r="F52" i="1" s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/>
  <c r="G55" i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Q51" i="1"/>
  <c r="D9" i="1"/>
  <c r="C9" i="1"/>
  <c r="Q50" i="1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C7" i="1"/>
  <c r="C8" i="1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E21" i="2"/>
  <c r="E36" i="1"/>
  <c r="F36" i="1"/>
  <c r="G36" i="1"/>
  <c r="J36" i="1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47" i="1"/>
  <c r="Q48" i="1"/>
  <c r="Q49" i="1"/>
  <c r="Q46" i="1"/>
  <c r="E24" i="1"/>
  <c r="F24" i="1"/>
  <c r="G24" i="1"/>
  <c r="K24" i="1"/>
  <c r="Q45" i="1"/>
  <c r="E21" i="1"/>
  <c r="F21" i="1"/>
  <c r="G21" i="1"/>
  <c r="J21" i="1"/>
  <c r="E22" i="1"/>
  <c r="F22" i="1"/>
  <c r="G22" i="1"/>
  <c r="J22" i="1"/>
  <c r="F16" i="1"/>
  <c r="F17" i="1" s="1"/>
  <c r="C17" i="1"/>
  <c r="Q43" i="1"/>
  <c r="Q44" i="1"/>
  <c r="Q29" i="1"/>
  <c r="Q30" i="1"/>
  <c r="Q31" i="1"/>
  <c r="Q32" i="1"/>
  <c r="Q42" i="1"/>
  <c r="Q41" i="1"/>
  <c r="Q39" i="1"/>
  <c r="Q38" i="1"/>
  <c r="Q26" i="1"/>
  <c r="Q27" i="1"/>
  <c r="Q33" i="1"/>
  <c r="Q34" i="1"/>
  <c r="Q21" i="1"/>
  <c r="Q22" i="1"/>
  <c r="Q40" i="1"/>
  <c r="Q35" i="1"/>
  <c r="Q36" i="1"/>
  <c r="Q37" i="1"/>
  <c r="Q28" i="1"/>
  <c r="Q24" i="1"/>
  <c r="Q25" i="1"/>
  <c r="Q23" i="1"/>
  <c r="E11" i="2"/>
  <c r="E27" i="2"/>
  <c r="E12" i="2"/>
  <c r="E18" i="2"/>
  <c r="E23" i="2"/>
  <c r="E28" i="2"/>
  <c r="E25" i="2"/>
  <c r="E29" i="2"/>
  <c r="E26" i="1"/>
  <c r="F26" i="1"/>
  <c r="E33" i="1"/>
  <c r="F33" i="1"/>
  <c r="E38" i="1"/>
  <c r="F38" i="1"/>
  <c r="E28" i="1"/>
  <c r="F28" i="1"/>
  <c r="G47" i="1"/>
  <c r="K47" i="1"/>
  <c r="E45" i="1"/>
  <c r="F45" i="1"/>
  <c r="G45" i="1"/>
  <c r="K45" i="1"/>
  <c r="E31" i="1"/>
  <c r="F31" i="1"/>
  <c r="G31" i="1"/>
  <c r="K31" i="1"/>
  <c r="E29" i="1"/>
  <c r="F29" i="1"/>
  <c r="E50" i="1"/>
  <c r="F50" i="1"/>
  <c r="G50" i="1"/>
  <c r="K50" i="1"/>
  <c r="E42" i="1"/>
  <c r="F42" i="1"/>
  <c r="G42" i="1"/>
  <c r="E41" i="1"/>
  <c r="G27" i="1"/>
  <c r="K27" i="1"/>
  <c r="G34" i="1"/>
  <c r="K34" i="1"/>
  <c r="G39" i="1"/>
  <c r="K39" i="1"/>
  <c r="E47" i="1"/>
  <c r="F47" i="1"/>
  <c r="G32" i="1"/>
  <c r="K32" i="1"/>
  <c r="E44" i="1"/>
  <c r="F44" i="1"/>
  <c r="G44" i="1"/>
  <c r="K44" i="1"/>
  <c r="G51" i="1"/>
  <c r="K51" i="1"/>
  <c r="E27" i="1"/>
  <c r="F27" i="1"/>
  <c r="E34" i="1"/>
  <c r="F34" i="1"/>
  <c r="E39" i="1"/>
  <c r="F39" i="1"/>
  <c r="E40" i="1"/>
  <c r="F40" i="1"/>
  <c r="G40" i="1"/>
  <c r="K40" i="1"/>
  <c r="E25" i="1"/>
  <c r="F25" i="1"/>
  <c r="G25" i="1"/>
  <c r="K25" i="1"/>
  <c r="E49" i="1"/>
  <c r="F49" i="1"/>
  <c r="G49" i="1"/>
  <c r="K49" i="1"/>
  <c r="E35" i="1"/>
  <c r="F35" i="1"/>
  <c r="G35" i="1"/>
  <c r="J35" i="1"/>
  <c r="E37" i="1"/>
  <c r="F37" i="1"/>
  <c r="G37" i="1"/>
  <c r="J37" i="1"/>
  <c r="E23" i="1"/>
  <c r="F23" i="1"/>
  <c r="E32" i="1"/>
  <c r="F32" i="1"/>
  <c r="E30" i="1"/>
  <c r="F30" i="1"/>
  <c r="G30" i="1"/>
  <c r="K30" i="1"/>
  <c r="G48" i="1"/>
  <c r="K48" i="1"/>
  <c r="E46" i="1"/>
  <c r="F46" i="1"/>
  <c r="G46" i="1"/>
  <c r="K46" i="1"/>
  <c r="E51" i="1"/>
  <c r="F51" i="1"/>
  <c r="G26" i="1"/>
  <c r="K26" i="1"/>
  <c r="G33" i="1"/>
  <c r="K33" i="1"/>
  <c r="G38" i="1"/>
  <c r="K38" i="1"/>
  <c r="G28" i="1"/>
  <c r="K28" i="1"/>
  <c r="E43" i="1"/>
  <c r="F43" i="1"/>
  <c r="G43" i="1"/>
  <c r="K43" i="1"/>
  <c r="G29" i="1"/>
  <c r="K29" i="1"/>
  <c r="E48" i="1"/>
  <c r="F48" i="1"/>
  <c r="K42" i="1"/>
  <c r="E30" i="2"/>
  <c r="F41" i="1"/>
  <c r="G41" i="1"/>
  <c r="J41" i="1"/>
  <c r="E26" i="2"/>
  <c r="E13" i="2"/>
  <c r="E15" i="2"/>
  <c r="E35" i="2"/>
  <c r="E24" i="2"/>
  <c r="E19" i="2"/>
  <c r="E20" i="2"/>
  <c r="E22" i="2"/>
  <c r="E14" i="2"/>
  <c r="E17" i="2"/>
  <c r="E16" i="2"/>
  <c r="E31" i="2"/>
  <c r="C12" i="1"/>
  <c r="C11" i="1"/>
  <c r="O61" i="1" l="1"/>
  <c r="O65" i="1"/>
  <c r="O60" i="1"/>
  <c r="O64" i="1"/>
  <c r="O68" i="1"/>
  <c r="O62" i="1"/>
  <c r="O59" i="1"/>
  <c r="O63" i="1"/>
  <c r="O67" i="1"/>
  <c r="O66" i="1"/>
  <c r="O58" i="1"/>
  <c r="O54" i="1"/>
  <c r="O52" i="1"/>
  <c r="O56" i="1"/>
  <c r="O53" i="1"/>
  <c r="O57" i="1"/>
  <c r="O55" i="1"/>
  <c r="O51" i="1"/>
  <c r="O43" i="1"/>
  <c r="O48" i="1"/>
  <c r="O46" i="1"/>
  <c r="O42" i="1"/>
  <c r="O50" i="1"/>
  <c r="O45" i="1"/>
  <c r="O49" i="1"/>
  <c r="O44" i="1"/>
  <c r="O47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<sst xmlns="http://schemas.openxmlformats.org/spreadsheetml/2006/main" count="368" uniqueCount="189">
  <si>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</si>
  <si>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</si>
  <si>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</si>
  <si>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</si>
  <si>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</si>
  <si>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</si>
  <si>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</si>
  <si>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</si>
  <si>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</si>
  <si>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</si>
  <si>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</si>
  <si>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</si>
  <si>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</si>
  <si>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</si>
  <si>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</si>
  <si>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</si>
  <si>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</si>
  <si>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</si>
  <si>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</si>
  <si>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</si>
  <si>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</si>
  <si>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</si>
  <si>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</si>
  <si>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</si>
  <si>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</si>
  <si>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</si>
  <si>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</si>
  <si>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</si>
  <si>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</si>
  <si>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</si>
  <si>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</t>
  </si>
  <si>
    <t>IBVS 5287</t>
  </si>
  <si>
    <t>IBVS 5027</t>
  </si>
  <si>
    <t>II</t>
  </si>
  <si>
    <t>IBVS 1932</t>
  </si>
  <si>
    <t>J.Safar BRNO 32</t>
  </si>
  <si>
    <t>F.Agerer BAVM 152</t>
  </si>
  <si>
    <t>EW/SD:</t>
  </si>
  <si>
    <t>IBVS 5592</t>
  </si>
  <si>
    <t># of data points:</t>
  </si>
  <si>
    <t>RV CVn / gsc 2004-1159</t>
  </si>
  <si>
    <t>IBVS 5676</t>
  </si>
  <si>
    <t>IBVS 5731</t>
  </si>
  <si>
    <t>IBVS 5894</t>
  </si>
  <si>
    <t>OEJV 0074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</si>
  <si>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</si>
  <si>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</si>
  <si>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</si>
  <si>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</si>
  <si>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</si>
  <si>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</si>
  <si>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</si>
  <si>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</si>
  <si>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5992</t>
  </si>
  <si>
    <t>IBVS 6029</t>
  </si>
  <si>
    <t>IBVS 6063</t>
  </si>
  <si>
    <t>p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</si>
  <si>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</si>
  <si>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</si>
  <si>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</si>
  <si>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</si>
  <si>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</si>
  <si>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</si>
  <si>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</si>
  <si>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</si>
  <si>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</si>
  <si>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</si>
  <si>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</si>
  <si>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2451555.6558 </t>
  </si>
  <si>
    <t> 12.01.2000 03:44 </t>
  </si>
  <si>
    <t> -0.0010 </t>
  </si>
  <si>
    <t>E </t>
  </si>
  <si>
    <t>?</t>
  </si>
  <si>
    <t> J.Safar </t>
  </si>
  <si>
    <t> BRNO 32 </t>
  </si>
  <si>
    <t>2451596.6303 </t>
  </si>
  <si>
    <t> 22.02.2000 03:07 </t>
  </si>
  <si>
    <t> -0.0007 </t>
  </si>
  <si>
    <t>2451626.5506 </t>
  </si>
  <si>
    <t> 23.03.2000 01:12 </t>
  </si>
  <si>
    <t> -0.0023 </t>
  </si>
  <si>
    <t> M.Zejda </t>
  </si>
  <si>
    <t>2451652.43110 </t>
  </si>
  <si>
    <t> 17.04.2000 22:20 </t>
  </si>
  <si>
    <t> -0.00022 </t>
  </si>
  <si>
    <t>C </t>
  </si>
  <si>
    <t>o</t>
  </si>
  <si>
    <t> J.Šafár </t>
  </si>
  <si>
    <t>OEJV 0074 </t>
  </si>
  <si>
    <t>2451923.48233 </t>
  </si>
  <si>
    <t> 13.01.2001 23:34 </t>
  </si>
  <si>
    <t> 0.00149 </t>
  </si>
  <si>
    <t>2451923.61511 </t>
  </si>
  <si>
    <t> 14.01.2001 02:45 </t>
  </si>
  <si>
    <t> -0.00051 </t>
  </si>
  <si>
    <t>2451924.69569 </t>
  </si>
  <si>
    <t> 15.01.2001 04:41 </t>
  </si>
  <si>
    <t> 0.00180 </t>
  </si>
  <si>
    <t>2452344.4099 </t>
  </si>
  <si>
    <t> 10.03.2002 21:50 </t>
  </si>
  <si>
    <t> 0.0003 </t>
  </si>
  <si>
    <t>-I</t>
  </si>
  <si>
    <t> F.Agerer </t>
  </si>
  <si>
    <t>BAVM 152 </t>
  </si>
  <si>
    <t>2452344.5458 </t>
  </si>
  <si>
    <t> 11.03.2002 01:05 </t>
  </si>
  <si>
    <t>-15206.5</t>
  </si>
  <si>
    <t> 0.0015 </t>
  </si>
  <si>
    <t>2452373.3897 </t>
  </si>
  <si>
    <t> 08.04.2002 21:21 </t>
  </si>
  <si>
    <t>-15099.5</t>
  </si>
  <si>
    <t> 0.0017 </t>
  </si>
  <si>
    <t>BAVM 158 </t>
  </si>
  <si>
    <t>2452373.5248 </t>
  </si>
  <si>
    <t> 09.04.2002 00:35 </t>
  </si>
  <si>
    <t>-15099</t>
  </si>
  <si>
    <t> 0.0020 </t>
  </si>
  <si>
    <t>2452715.4699 </t>
  </si>
  <si>
    <t> 16.03.2003 23:16 </t>
  </si>
  <si>
    <t>-13830.5</t>
  </si>
  <si>
    <t>2452789.4658 </t>
  </si>
  <si>
    <t> 29.05.2003 23:10 </t>
  </si>
  <si>
    <t>-13556</t>
  </si>
  <si>
    <t> 0.0013 </t>
  </si>
  <si>
    <t> L.Kotková &amp; M.Wolf </t>
  </si>
  <si>
    <t>IBVS 5676 </t>
  </si>
  <si>
    <t>2452863.3270 </t>
  </si>
  <si>
    <t> 11.08.2003 19:50 </t>
  </si>
  <si>
    <t>-13282</t>
  </si>
  <si>
    <t> 0.0012 </t>
  </si>
  <si>
    <t>2453148.2594 </t>
  </si>
  <si>
    <t> 22.05.2004 18:13 </t>
  </si>
  <si>
    <t>-12225</t>
  </si>
  <si>
    <t> 0.0014 </t>
  </si>
  <si>
    <t> T.Krajci </t>
  </si>
  <si>
    <t>IBVS 5592 </t>
  </si>
  <si>
    <t>2453534.4131 </t>
  </si>
  <si>
    <t> 12.06.2005 21:54 </t>
  </si>
  <si>
    <t>-10792.5</t>
  </si>
  <si>
    <t> 0.0005 </t>
  </si>
  <si>
    <t> U.Schmidt </t>
  </si>
  <si>
    <t>BAVM 178 </t>
  </si>
  <si>
    <t>2454172.61458 </t>
  </si>
  <si>
    <t> 13.03.2007 02:44 </t>
  </si>
  <si>
    <t>-8425</t>
  </si>
  <si>
    <t> 0.00231 </t>
  </si>
  <si>
    <t>R</t>
  </si>
  <si>
    <t> P.Svoboda </t>
  </si>
  <si>
    <t>2454950.7203 </t>
  </si>
  <si>
    <t> 29.04.2009 05:17 </t>
  </si>
  <si>
    <t>-5538.5</t>
  </si>
  <si>
    <t> 0.0032 </t>
  </si>
  <si>
    <t> R.Diethelm </t>
  </si>
  <si>
    <t>IBVS 5894 </t>
  </si>
  <si>
    <t>2454950.854 </t>
  </si>
  <si>
    <t> 29.04.2009 08:29 </t>
  </si>
  <si>
    <t>-5538</t>
  </si>
  <si>
    <t> 0.002 </t>
  </si>
  <si>
    <t>2455629.8931 </t>
  </si>
  <si>
    <t> 09.03.2011 09:26 </t>
  </si>
  <si>
    <t>-3019</t>
  </si>
  <si>
    <t> 0.0022 </t>
  </si>
  <si>
    <t>IBVS 5992 </t>
  </si>
  <si>
    <t>2456001.8955 </t>
  </si>
  <si>
    <t> 15.03.2012 09:29 </t>
  </si>
  <si>
    <t>-1639</t>
  </si>
  <si>
    <t>IBVS 6029 </t>
  </si>
  <si>
    <t>2456443.7125 </t>
  </si>
  <si>
    <t> 31.05.2013 05:06 </t>
  </si>
  <si>
    <t>0</t>
  </si>
  <si>
    <t> -0.0009 </t>
  </si>
  <si>
    <t>IBVS 6063 </t>
  </si>
  <si>
    <t>2456443.7133 </t>
  </si>
  <si>
    <t> 31.05.2013 05:07 </t>
  </si>
  <si>
    <t> -0.0001 </t>
  </si>
  <si>
    <t>2456443.7144 </t>
  </si>
  <si>
    <t> 31.05.2013 05:08 </t>
  </si>
  <si>
    <t> 0.0010 </t>
  </si>
  <si>
    <t>B</t>
  </si>
  <si>
    <t>2456789.02770 </t>
  </si>
  <si>
    <t> 11.05.2014 12:39 </t>
  </si>
  <si>
    <t>1281</t>
  </si>
  <si>
    <t> -0.00090 </t>
  </si>
  <si>
    <t>Ic</t>
  </si>
  <si>
    <t> S.Kiyota </t>
  </si>
  <si>
    <t>VSB 59 </t>
  </si>
  <si>
    <t>VSB, 91</t>
  </si>
  <si>
    <t>JBAV, 76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</si>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</sst>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"/>
    <numFmt numFmtId="167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5" fillId="0" borderId="0" xfId="42" applyNumberFormat="1" applyFont="1" applyAlignment="1">
      <alignment horizontal="left" wrapText="1"/>
    </xf>
    <xf numFmtId="166" fontId="35" fillId="0" borderId="0" xfId="0" applyNumberFormat="1" applyFont="1" applyAlignment="1">
      <alignment horizontal="left" vertical="center" wrapText="1"/>
    </xf>
    <xf numFmtId="166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CVn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458685210611855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5-42E3-9067-AB16679831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05-42E3-9067-AB16679831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-1.2466000000131316E-2</c:v>
                </c:pt>
                <c:pt idx="1">
                  <c:v>4.9845000030472875E-3</c:v>
                </c:pt>
                <c:pt idx="14">
                  <c:v>2.859349999926053E-2</c:v>
                </c:pt>
                <c:pt idx="15">
                  <c:v>2.8910000000905711E-2</c:v>
                </c:pt>
                <c:pt idx="16">
                  <c:v>2.8270499999052845E-2</c:v>
                </c:pt>
                <c:pt idx="20">
                  <c:v>2.6924500001769047E-2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05-42E3-9067-AB16679831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2.6902000005065929E-2</c:v>
                </c:pt>
                <c:pt idx="4">
                  <c:v>2.6644499994290527E-2</c:v>
                </c:pt>
                <c:pt idx="5">
                  <c:v>2.6188000003458001E-2</c:v>
                </c:pt>
                <c:pt idx="6">
                  <c:v>2.6504000001295935E-2</c:v>
                </c:pt>
                <c:pt idx="7">
                  <c:v>2.4867000000085682E-2</c:v>
                </c:pt>
                <c:pt idx="8">
                  <c:v>2.6935000001685694E-2</c:v>
                </c:pt>
                <c:pt idx="9">
                  <c:v>2.8546499997901265E-2</c:v>
                </c:pt>
                <c:pt idx="10">
                  <c:v>2.6542999999946915E-2</c:v>
                </c:pt>
                <c:pt idx="11">
                  <c:v>2.8855000004114117E-2</c:v>
                </c:pt>
                <c:pt idx="12">
                  <c:v>2.724599999783095E-2</c:v>
                </c:pt>
                <c:pt idx="13">
                  <c:v>2.8362500001094304E-2</c:v>
                </c:pt>
                <c:pt idx="17">
                  <c:v>2.8029000000969972E-2</c:v>
                </c:pt>
                <c:pt idx="18">
                  <c:v>2.7870999998413026E-2</c:v>
                </c:pt>
                <c:pt idx="19">
                  <c:v>2.795200000400655E-2</c:v>
                </c:pt>
                <c:pt idx="21">
                  <c:v>2.8532000003906433E-2</c:v>
                </c:pt>
                <c:pt idx="22">
                  <c:v>2.9106500005582348E-2</c:v>
                </c:pt>
                <c:pt idx="23">
                  <c:v>2.8022999998938758E-2</c:v>
                </c:pt>
                <c:pt idx="24">
                  <c:v>2.7849999998579733E-2</c:v>
                </c:pt>
                <c:pt idx="25">
                  <c:v>2.7790000000095461E-2</c:v>
                </c:pt>
                <c:pt idx="26">
                  <c:v>2.4527000001398847E-2</c:v>
                </c:pt>
                <c:pt idx="27">
                  <c:v>2.5367000002006534E-2</c:v>
                </c:pt>
                <c:pt idx="28">
                  <c:v>2.6407000004837755E-2</c:v>
                </c:pt>
                <c:pt idx="29">
                  <c:v>2.4349999999685679E-2</c:v>
                </c:pt>
                <c:pt idx="30">
                  <c:v>2.3498000002291519E-2</c:v>
                </c:pt>
                <c:pt idx="31">
                  <c:v>1.6447500209324062E-2</c:v>
                </c:pt>
                <c:pt idx="32">
                  <c:v>1.5879500002483837E-2</c:v>
                </c:pt>
                <c:pt idx="33">
                  <c:v>1.6594999797234777E-2</c:v>
                </c:pt>
                <c:pt idx="34">
                  <c:v>1.5463500123587437E-2</c:v>
                </c:pt>
                <c:pt idx="35">
                  <c:v>1.6478999874379952E-2</c:v>
                </c:pt>
                <c:pt idx="36">
                  <c:v>1.5095500042662024E-2</c:v>
                </c:pt>
                <c:pt idx="37">
                  <c:v>1.76454999964335E-2</c:v>
                </c:pt>
                <c:pt idx="38">
                  <c:v>1.5360999866970815E-2</c:v>
                </c:pt>
                <c:pt idx="39">
                  <c:v>1.4977500199165661E-2</c:v>
                </c:pt>
                <c:pt idx="40">
                  <c:v>1.5093000081833452E-2</c:v>
                </c:pt>
                <c:pt idx="41">
                  <c:v>1.4840499883575831E-2</c:v>
                </c:pt>
                <c:pt idx="42">
                  <c:v>1.5955999930156395E-2</c:v>
                </c:pt>
                <c:pt idx="43">
                  <c:v>1.5503500064369291E-2</c:v>
                </c:pt>
                <c:pt idx="44">
                  <c:v>1.5156499910517596E-2</c:v>
                </c:pt>
                <c:pt idx="45">
                  <c:v>1.5271999793185387E-2</c:v>
                </c:pt>
                <c:pt idx="46">
                  <c:v>1.5234999773383606E-2</c:v>
                </c:pt>
                <c:pt idx="47">
                  <c:v>1.5366999767138623E-2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05-42E3-9067-AB16679831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05-42E3-9067-AB16679831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05-42E3-9067-AB16679831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05-42E3-9067-AB16679831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">
                  <c:v>3.1274503666241064E-2</c:v>
                </c:pt>
                <c:pt idx="22">
                  <c:v>2.9073811422666469E-2</c:v>
                </c:pt>
                <c:pt idx="23">
                  <c:v>2.9073430218397704E-2</c:v>
                </c:pt>
                <c:pt idx="24">
                  <c:v>2.7152923112364655E-2</c:v>
                </c:pt>
                <c:pt idx="25">
                  <c:v>2.6100799330576005E-2</c:v>
                </c:pt>
                <c:pt idx="26">
                  <c:v>2.4851211737567595E-2</c:v>
                </c:pt>
                <c:pt idx="27">
                  <c:v>2.4851211737567595E-2</c:v>
                </c:pt>
                <c:pt idx="28">
                  <c:v>2.4851211737567595E-2</c:v>
                </c:pt>
                <c:pt idx="29">
                  <c:v>2.3874566400994224E-2</c:v>
                </c:pt>
                <c:pt idx="30">
                  <c:v>2.0858478226533424E-2</c:v>
                </c:pt>
                <c:pt idx="31">
                  <c:v>1.658784680357029E-2</c:v>
                </c:pt>
                <c:pt idx="32">
                  <c:v>1.6584797169420178E-2</c:v>
                </c:pt>
                <c:pt idx="33">
                  <c:v>1.6582128739538828E-2</c:v>
                </c:pt>
                <c:pt idx="34">
                  <c:v>1.6548201559618829E-2</c:v>
                </c:pt>
                <c:pt idx="35">
                  <c:v>1.6545533129737486E-2</c:v>
                </c:pt>
                <c:pt idx="36">
                  <c:v>1.6545151925468717E-2</c:v>
                </c:pt>
                <c:pt idx="37">
                  <c:v>1.5592141253558713E-2</c:v>
                </c:pt>
                <c:pt idx="38">
                  <c:v>1.551323196992456E-2</c:v>
                </c:pt>
                <c:pt idx="39">
                  <c:v>1.5512850765655797E-2</c:v>
                </c:pt>
                <c:pt idx="40">
                  <c:v>1.5510182335774447E-2</c:v>
                </c:pt>
                <c:pt idx="41">
                  <c:v>1.5504464271742992E-2</c:v>
                </c:pt>
                <c:pt idx="42">
                  <c:v>1.5501795841861642E-2</c:v>
                </c:pt>
                <c:pt idx="43">
                  <c:v>1.5496077777830179E-2</c:v>
                </c:pt>
                <c:pt idx="44">
                  <c:v>1.5464819027791531E-2</c:v>
                </c:pt>
                <c:pt idx="45">
                  <c:v>1.5462150597910188E-2</c:v>
                </c:pt>
                <c:pt idx="46">
                  <c:v>1.5453764103997375E-2</c:v>
                </c:pt>
                <c:pt idx="47">
                  <c:v>1.5450714469847263E-2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05-42E3-9067-AB166798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26672"/>
        <c:axId val="1"/>
      </c:scatterChart>
      <c:valAx>
        <c:axId val="796726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26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CVn - O-C Diagr.</a:t>
            </a:r>
          </a:p>
        </c:rich>
      </c:tx>
      <c:layout>
        <c:manualLayout>
          <c:xMode val="edge"/>
          <c:yMode val="edge"/>
          <c:x val="0.34020618556701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195876288659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72-40AE-9D01-89F50F8BF9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72-40AE-9D01-89F50F8BF9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-1.2466000000131316E-2</c:v>
                </c:pt>
                <c:pt idx="1">
                  <c:v>4.9845000030472875E-3</c:v>
                </c:pt>
                <c:pt idx="14">
                  <c:v>2.859349999926053E-2</c:v>
                </c:pt>
                <c:pt idx="15">
                  <c:v>2.8910000000905711E-2</c:v>
                </c:pt>
                <c:pt idx="16">
                  <c:v>2.8270499999052845E-2</c:v>
                </c:pt>
                <c:pt idx="20">
                  <c:v>2.6924500001769047E-2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72-40AE-9D01-89F50F8BF9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2.6902000005065929E-2</c:v>
                </c:pt>
                <c:pt idx="4">
                  <c:v>2.6644499994290527E-2</c:v>
                </c:pt>
                <c:pt idx="5">
                  <c:v>2.6188000003458001E-2</c:v>
                </c:pt>
                <c:pt idx="6">
                  <c:v>2.6504000001295935E-2</c:v>
                </c:pt>
                <c:pt idx="7">
                  <c:v>2.4867000000085682E-2</c:v>
                </c:pt>
                <c:pt idx="8">
                  <c:v>2.6935000001685694E-2</c:v>
                </c:pt>
                <c:pt idx="9">
                  <c:v>2.8546499997901265E-2</c:v>
                </c:pt>
                <c:pt idx="10">
                  <c:v>2.6542999999946915E-2</c:v>
                </c:pt>
                <c:pt idx="11">
                  <c:v>2.8855000004114117E-2</c:v>
                </c:pt>
                <c:pt idx="12">
                  <c:v>2.724599999783095E-2</c:v>
                </c:pt>
                <c:pt idx="13">
                  <c:v>2.8362500001094304E-2</c:v>
                </c:pt>
                <c:pt idx="17">
                  <c:v>2.8029000000969972E-2</c:v>
                </c:pt>
                <c:pt idx="18">
                  <c:v>2.7870999998413026E-2</c:v>
                </c:pt>
                <c:pt idx="19">
                  <c:v>2.795200000400655E-2</c:v>
                </c:pt>
                <c:pt idx="21">
                  <c:v>2.8532000003906433E-2</c:v>
                </c:pt>
                <c:pt idx="22">
                  <c:v>2.9106500005582348E-2</c:v>
                </c:pt>
                <c:pt idx="23">
                  <c:v>2.8022999998938758E-2</c:v>
                </c:pt>
                <c:pt idx="24">
                  <c:v>2.7849999998579733E-2</c:v>
                </c:pt>
                <c:pt idx="25">
                  <c:v>2.7790000000095461E-2</c:v>
                </c:pt>
                <c:pt idx="26">
                  <c:v>2.4527000001398847E-2</c:v>
                </c:pt>
                <c:pt idx="27">
                  <c:v>2.5367000002006534E-2</c:v>
                </c:pt>
                <c:pt idx="28">
                  <c:v>2.6407000004837755E-2</c:v>
                </c:pt>
                <c:pt idx="29">
                  <c:v>2.4349999999685679E-2</c:v>
                </c:pt>
                <c:pt idx="30">
                  <c:v>2.3498000002291519E-2</c:v>
                </c:pt>
                <c:pt idx="31">
                  <c:v>1.6447500209324062E-2</c:v>
                </c:pt>
                <c:pt idx="32">
                  <c:v>1.5879500002483837E-2</c:v>
                </c:pt>
                <c:pt idx="33">
                  <c:v>1.6594999797234777E-2</c:v>
                </c:pt>
                <c:pt idx="34">
                  <c:v>1.5463500123587437E-2</c:v>
                </c:pt>
                <c:pt idx="35">
                  <c:v>1.6478999874379952E-2</c:v>
                </c:pt>
                <c:pt idx="36">
                  <c:v>1.5095500042662024E-2</c:v>
                </c:pt>
                <c:pt idx="37">
                  <c:v>1.76454999964335E-2</c:v>
                </c:pt>
                <c:pt idx="38">
                  <c:v>1.5360999866970815E-2</c:v>
                </c:pt>
                <c:pt idx="39">
                  <c:v>1.4977500199165661E-2</c:v>
                </c:pt>
                <c:pt idx="40">
                  <c:v>1.5093000081833452E-2</c:v>
                </c:pt>
                <c:pt idx="41">
                  <c:v>1.4840499883575831E-2</c:v>
                </c:pt>
                <c:pt idx="42">
                  <c:v>1.5955999930156395E-2</c:v>
                </c:pt>
                <c:pt idx="43">
                  <c:v>1.5503500064369291E-2</c:v>
                </c:pt>
                <c:pt idx="44">
                  <c:v>1.5156499910517596E-2</c:v>
                </c:pt>
                <c:pt idx="45">
                  <c:v>1.5271999793185387E-2</c:v>
                </c:pt>
                <c:pt idx="46">
                  <c:v>1.5234999773383606E-2</c:v>
                </c:pt>
                <c:pt idx="47">
                  <c:v>1.5366999767138623E-2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72-40AE-9D01-89F50F8BF9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72-40AE-9D01-89F50F8BF9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72-40AE-9D01-89F50F8BF9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72-40AE-9D01-89F50F8BF9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">
                  <c:v>3.1274503666241064E-2</c:v>
                </c:pt>
                <c:pt idx="22">
                  <c:v>2.9073811422666469E-2</c:v>
                </c:pt>
                <c:pt idx="23">
                  <c:v>2.9073430218397704E-2</c:v>
                </c:pt>
                <c:pt idx="24">
                  <c:v>2.7152923112364655E-2</c:v>
                </c:pt>
                <c:pt idx="25">
                  <c:v>2.6100799330576005E-2</c:v>
                </c:pt>
                <c:pt idx="26">
                  <c:v>2.4851211737567595E-2</c:v>
                </c:pt>
                <c:pt idx="27">
                  <c:v>2.4851211737567595E-2</c:v>
                </c:pt>
                <c:pt idx="28">
                  <c:v>2.4851211737567595E-2</c:v>
                </c:pt>
                <c:pt idx="29">
                  <c:v>2.3874566400994224E-2</c:v>
                </c:pt>
                <c:pt idx="30">
                  <c:v>2.0858478226533424E-2</c:v>
                </c:pt>
                <c:pt idx="31">
                  <c:v>1.658784680357029E-2</c:v>
                </c:pt>
                <c:pt idx="32">
                  <c:v>1.6584797169420178E-2</c:v>
                </c:pt>
                <c:pt idx="33">
                  <c:v>1.6582128739538828E-2</c:v>
                </c:pt>
                <c:pt idx="34">
                  <c:v>1.6548201559618829E-2</c:v>
                </c:pt>
                <c:pt idx="35">
                  <c:v>1.6545533129737486E-2</c:v>
                </c:pt>
                <c:pt idx="36">
                  <c:v>1.6545151925468717E-2</c:v>
                </c:pt>
                <c:pt idx="37">
                  <c:v>1.5592141253558713E-2</c:v>
                </c:pt>
                <c:pt idx="38">
                  <c:v>1.551323196992456E-2</c:v>
                </c:pt>
                <c:pt idx="39">
                  <c:v>1.5512850765655797E-2</c:v>
                </c:pt>
                <c:pt idx="40">
                  <c:v>1.5510182335774447E-2</c:v>
                </c:pt>
                <c:pt idx="41">
                  <c:v>1.5504464271742992E-2</c:v>
                </c:pt>
                <c:pt idx="42">
                  <c:v>1.5501795841861642E-2</c:v>
                </c:pt>
                <c:pt idx="43">
                  <c:v>1.5496077777830179E-2</c:v>
                </c:pt>
                <c:pt idx="44">
                  <c:v>1.5464819027791531E-2</c:v>
                </c:pt>
                <c:pt idx="45">
                  <c:v>1.5462150597910188E-2</c:v>
                </c:pt>
                <c:pt idx="46">
                  <c:v>1.5453764103997375E-2</c:v>
                </c:pt>
                <c:pt idx="47">
                  <c:v>1.5450714469847263E-2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72-40AE-9D01-89F50F8B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27328"/>
        <c:axId val="1"/>
      </c:scatterChart>
      <c:valAx>
        <c:axId val="79672732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350515463917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2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89690721649486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276225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C10F157-AAEF-4763-096D-9BB864831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381001</xdr:colOff>
      <xdr:row>0</xdr:row>
      <xdr:rowOff>19050</xdr:rowOff>
    </xdr:from>
    <xdr:to>
      <xdr:col>26</xdr:col>
      <xdr:colOff>609601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1173766-B63C-5659-C536-96129C286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6063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konkoly.hu/cgi-bin/IBVS?5592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894" TargetMode="External"/><Relationship Id="rId20" Type="http://schemas.openxmlformats.org/officeDocument/2006/relationships/hyperlink" Target="http://www.konkoly.hu/cgi-bin/IBVS?6063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76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89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konkoly.hu/cgi-bin/IBVS?5676" TargetMode="External"/><Relationship Id="rId19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3"/>
  <sheetViews>
    <sheetView tabSelected="1" workbookViewId="0">
      <pane xSplit="14" ySplit="22" topLeftCell="O5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25</v>
      </c>
      <c r="B2" s="11" t="s">
        <v>37</v>
      </c>
    </row>
    <row r="4" spans="1:6" ht="14.25" thickTop="1" thickBot="1">
      <c r="A4" s="7" t="s">
        <v>1</v>
      </c>
      <c r="C4" s="3">
        <v>44375.442999999999</v>
      </c>
      <c r="D4" s="4">
        <v>0.269567</v>
      </c>
    </row>
    <row r="5" spans="1:6" ht="13.5" thickTop="1">
      <c r="A5" s="13" t="s">
        <v>45</v>
      </c>
      <c r="B5" s="12"/>
      <c r="C5" s="14">
        <v>-9.5</v>
      </c>
      <c r="D5" s="12" t="s">
        <v>46</v>
      </c>
    </row>
    <row r="6" spans="1:6">
      <c r="A6" s="7" t="s">
        <v>2</v>
      </c>
    </row>
    <row r="7" spans="1:6">
      <c r="A7" t="s">
        <v>3</v>
      </c>
      <c r="C7">
        <f>+C4</f>
        <v>44375.442999999999</v>
      </c>
    </row>
    <row r="8" spans="1:6">
      <c r="A8" t="s">
        <v>4</v>
      </c>
      <c r="C8">
        <f>+D4</f>
        <v>0.269567</v>
      </c>
    </row>
    <row r="9" spans="1:6">
      <c r="A9" s="26" t="s">
        <v>50</v>
      </c>
      <c r="B9" s="27">
        <v>42</v>
      </c>
      <c r="C9" s="16" t="str">
        <f>"F"&amp;B9</f>
        <v>F42</v>
      </c>
      <c r="D9" s="10" t="str">
        <f>"G"&amp;B9</f>
        <v>G42</v>
      </c>
    </row>
    <row r="10" spans="1:6" ht="13.5" thickBot="1">
      <c r="A10" s="12"/>
      <c r="B10" s="12"/>
      <c r="C10" s="6" t="s">
        <v>21</v>
      </c>
      <c r="D10" s="6" t="s">
        <v>22</v>
      </c>
      <c r="E10" s="12"/>
    </row>
    <row r="11" spans="1:6">
      <c r="A11" s="12" t="s">
        <v>17</v>
      </c>
      <c r="B11" s="12"/>
      <c r="C11" s="15">
        <f ca="1">INTERCEPT(INDIRECT($D$9):G989,INDIRECT($C$9):F989)</f>
        <v>5.8983479554158974E-2</v>
      </c>
      <c r="D11" s="5"/>
      <c r="E11" s="12"/>
    </row>
    <row r="12" spans="1:6">
      <c r="A12" s="12" t="s">
        <v>18</v>
      </c>
      <c r="B12" s="12"/>
      <c r="C12" s="15">
        <f ca="1">SLOPE(INDIRECT($D$9):G989,INDIRECT($C$9):F989)</f>
        <v>-7.6240853752800767E-7</v>
      </c>
      <c r="D12" s="5"/>
      <c r="E12" s="12"/>
    </row>
    <row r="13" spans="1:6">
      <c r="A13" s="12" t="s">
        <v>20</v>
      </c>
      <c r="B13" s="12"/>
      <c r="C13" s="5" t="s">
        <v>15</v>
      </c>
    </row>
    <row r="14" spans="1:6">
      <c r="A14" s="12"/>
      <c r="B14" s="12"/>
      <c r="C14" s="12"/>
    </row>
    <row r="15" spans="1:6">
      <c r="A15" s="17" t="s">
        <v>19</v>
      </c>
      <c r="B15" s="12"/>
      <c r="C15" s="18">
        <f ca="1">(C7+C11)+(C8+C12)*INT(MAX(F21:F3530))</f>
        <v>59767.464583714471</v>
      </c>
      <c r="E15" s="19" t="s">
        <v>51</v>
      </c>
      <c r="F15" s="14">
        <v>1</v>
      </c>
    </row>
    <row r="16" spans="1:6">
      <c r="A16" s="21" t="s">
        <v>5</v>
      </c>
      <c r="B16" s="12"/>
      <c r="C16" s="22">
        <f ca="1">+C8+C12</f>
        <v>0.26956623759146248</v>
      </c>
      <c r="E16" s="19" t="s">
        <v>47</v>
      </c>
      <c r="F16" s="20">
        <f ca="1">NOW()+15018.5+$C$5/24</f>
        <v>60339.760693287033</v>
      </c>
    </row>
    <row r="17" spans="1:17" ht="13.5" thickBot="1">
      <c r="A17" s="19" t="s">
        <v>39</v>
      </c>
      <c r="B17" s="12"/>
      <c r="C17" s="12">
        <f>COUNT(C21:C2188)</f>
        <v>48</v>
      </c>
      <c r="E17" s="19" t="s">
        <v>52</v>
      </c>
      <c r="F17" s="20">
        <f ca="1">ROUND(2*(F16-$C$7)/$C$8,0)/2+F15</f>
        <v>59223</v>
      </c>
    </row>
    <row r="18" spans="1:17" ht="14.25" thickTop="1" thickBot="1">
      <c r="A18" s="21" t="s">
        <v>6</v>
      </c>
      <c r="B18" s="12"/>
      <c r="C18" s="24">
        <f ca="1">+C15</f>
        <v>59767.464583714471</v>
      </c>
      <c r="D18" s="25">
        <f ca="1">+C16</f>
        <v>0.26956623759146248</v>
      </c>
      <c r="E18" s="19" t="s">
        <v>48</v>
      </c>
      <c r="F18" s="10">
        <f ca="1">ROUND(2*(F16-$C$15)/$C$16,0)/2+F15</f>
        <v>2124</v>
      </c>
    </row>
    <row r="19" spans="1:17" ht="13.5" thickTop="1">
      <c r="E19" s="19" t="s">
        <v>49</v>
      </c>
      <c r="F19" s="23">
        <f ca="1">+$C$15+$C$16*F18-15018.5-$C$5/24</f>
        <v>45321.919105692075</v>
      </c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64</v>
      </c>
      <c r="I20" s="9" t="s">
        <v>67</v>
      </c>
      <c r="J20" s="9" t="s">
        <v>61</v>
      </c>
      <c r="K20" s="9" t="s">
        <v>59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>
      <c r="A21" t="s">
        <v>34</v>
      </c>
      <c r="B21" s="5" t="s">
        <v>30</v>
      </c>
      <c r="C21" s="38">
        <v>24642.587</v>
      </c>
      <c r="D21" s="38"/>
      <c r="E21">
        <f t="shared" ref="E21:E50" si="0">+(C21-C$7)/C$8</f>
        <v>-73202.046244532903</v>
      </c>
      <c r="F21">
        <f t="shared" ref="F21:F51" si="1">ROUND(2*E21,0)/2</f>
        <v>-73202</v>
      </c>
      <c r="G21">
        <f>+C21-(C$7+F21*C$8)</f>
        <v>-1.2466000000131316E-2</v>
      </c>
      <c r="J21">
        <f>G21</f>
        <v>-1.2466000000131316E-2</v>
      </c>
      <c r="Q21" s="2">
        <f t="shared" ref="Q21:Q50" si="2">+C21-15018.5</f>
        <v>9624.0869999999995</v>
      </c>
    </row>
    <row r="22" spans="1:17">
      <c r="A22" t="s">
        <v>34</v>
      </c>
      <c r="B22" s="5" t="s">
        <v>33</v>
      </c>
      <c r="C22" s="38">
        <v>44374.504500000003</v>
      </c>
      <c r="D22" s="38"/>
      <c r="E22">
        <f t="shared" si="0"/>
        <v>-3.4815092351681241</v>
      </c>
      <c r="F22">
        <f t="shared" si="1"/>
        <v>-3.5</v>
      </c>
      <c r="G22">
        <f>+C22-(C$7+F22*C$8)</f>
        <v>4.9845000030472875E-3</v>
      </c>
      <c r="J22">
        <f>G22</f>
        <v>4.9845000030472875E-3</v>
      </c>
      <c r="Q22" s="2">
        <f t="shared" si="2"/>
        <v>29356.004500000003</v>
      </c>
    </row>
    <row r="23" spans="1:17">
      <c r="A23" t="s">
        <v>13</v>
      </c>
      <c r="B23" s="5"/>
      <c r="C23" s="38">
        <v>44375.442999999999</v>
      </c>
      <c r="D23" s="38" t="s">
        <v>15</v>
      </c>
      <c r="E23">
        <f t="shared" si="0"/>
        <v>0</v>
      </c>
      <c r="F23">
        <f t="shared" si="1"/>
        <v>0</v>
      </c>
      <c r="H23" s="10">
        <v>0</v>
      </c>
      <c r="Q23" s="2">
        <f t="shared" si="2"/>
        <v>29356.942999999999</v>
      </c>
    </row>
    <row r="24" spans="1:17">
      <c r="A24" t="s">
        <v>32</v>
      </c>
      <c r="B24" s="5" t="s">
        <v>30</v>
      </c>
      <c r="C24" s="38">
        <v>51247.811000000002</v>
      </c>
      <c r="D24" s="38">
        <v>5.0000000000000001E-4</v>
      </c>
      <c r="E24">
        <f t="shared" si="0"/>
        <v>25494.099797081995</v>
      </c>
      <c r="F24">
        <f t="shared" si="1"/>
        <v>25494</v>
      </c>
      <c r="G24">
        <f t="shared" ref="G24:G50" si="3">+C24-(C$7+F24*C$8)</f>
        <v>2.6902000005065929E-2</v>
      </c>
      <c r="K24">
        <f t="shared" ref="K24:K34" si="4">+G24</f>
        <v>2.6902000005065929E-2</v>
      </c>
      <c r="Q24" s="2">
        <f t="shared" si="2"/>
        <v>36229.311000000002</v>
      </c>
    </row>
    <row r="25" spans="1:17">
      <c r="A25" t="s">
        <v>32</v>
      </c>
      <c r="B25" s="5" t="s">
        <v>33</v>
      </c>
      <c r="C25" s="38">
        <v>51334.746099999997</v>
      </c>
      <c r="D25" s="38">
        <v>4.0000000000000002E-4</v>
      </c>
      <c r="E25">
        <f t="shared" si="0"/>
        <v>25816.59884184636</v>
      </c>
      <c r="F25">
        <f t="shared" si="1"/>
        <v>25816.5</v>
      </c>
      <c r="G25">
        <f t="shared" si="3"/>
        <v>2.6644499994290527E-2</v>
      </c>
      <c r="K25">
        <f t="shared" si="4"/>
        <v>2.6644499994290527E-2</v>
      </c>
      <c r="Q25" s="2">
        <f t="shared" si="2"/>
        <v>36316.246099999997</v>
      </c>
    </row>
    <row r="26" spans="1:17">
      <c r="A26" t="s">
        <v>35</v>
      </c>
      <c r="B26" s="5"/>
      <c r="C26" s="39">
        <v>51555.6558</v>
      </c>
      <c r="D26" s="38"/>
      <c r="E26">
        <f t="shared" si="0"/>
        <v>26636.097148389828</v>
      </c>
      <c r="F26">
        <f t="shared" si="1"/>
        <v>26636</v>
      </c>
      <c r="G26">
        <f t="shared" si="3"/>
        <v>2.6188000003458001E-2</v>
      </c>
      <c r="K26">
        <f t="shared" si="4"/>
        <v>2.6188000003458001E-2</v>
      </c>
      <c r="Q26" s="2">
        <f t="shared" si="2"/>
        <v>36537.1558</v>
      </c>
    </row>
    <row r="27" spans="1:17">
      <c r="A27" s="28" t="s">
        <v>35</v>
      </c>
      <c r="B27" s="29"/>
      <c r="C27" s="40">
        <v>51596.630299999997</v>
      </c>
      <c r="D27" s="37"/>
      <c r="E27">
        <f t="shared" si="0"/>
        <v>26788.098320640129</v>
      </c>
      <c r="F27">
        <f t="shared" si="1"/>
        <v>26788</v>
      </c>
      <c r="G27">
        <f t="shared" si="3"/>
        <v>2.6504000001295935E-2</v>
      </c>
      <c r="K27">
        <f t="shared" si="4"/>
        <v>2.6504000001295935E-2</v>
      </c>
      <c r="Q27" s="2">
        <f t="shared" si="2"/>
        <v>36578.130299999997</v>
      </c>
    </row>
    <row r="28" spans="1:17">
      <c r="A28" s="28" t="s">
        <v>31</v>
      </c>
      <c r="B28" s="29" t="s">
        <v>30</v>
      </c>
      <c r="C28" s="34">
        <v>51626.550600000002</v>
      </c>
      <c r="D28" s="34">
        <v>3.0000000000000001E-3</v>
      </c>
      <c r="E28">
        <f t="shared" si="0"/>
        <v>26899.09224793837</v>
      </c>
      <c r="F28">
        <f t="shared" si="1"/>
        <v>26899</v>
      </c>
      <c r="G28">
        <f t="shared" si="3"/>
        <v>2.4867000000085682E-2</v>
      </c>
      <c r="K28">
        <f t="shared" si="4"/>
        <v>2.4867000000085682E-2</v>
      </c>
      <c r="Q28" s="2">
        <f t="shared" si="2"/>
        <v>36608.050600000002</v>
      </c>
    </row>
    <row r="29" spans="1:17">
      <c r="A29" s="30" t="s">
        <v>44</v>
      </c>
      <c r="B29" s="31" t="s">
        <v>30</v>
      </c>
      <c r="C29" s="30">
        <v>51652.431100000002</v>
      </c>
      <c r="D29" s="30">
        <v>8.0000000000000004E-4</v>
      </c>
      <c r="E29">
        <f t="shared" si="0"/>
        <v>26995.099919500542</v>
      </c>
      <c r="F29">
        <f t="shared" si="1"/>
        <v>26995</v>
      </c>
      <c r="G29">
        <f t="shared" si="3"/>
        <v>2.6935000001685694E-2</v>
      </c>
      <c r="K29">
        <f t="shared" si="4"/>
        <v>2.6935000001685694E-2</v>
      </c>
      <c r="Q29" s="2">
        <f t="shared" si="2"/>
        <v>36633.931100000002</v>
      </c>
    </row>
    <row r="30" spans="1:17">
      <c r="A30" s="30" t="s">
        <v>44</v>
      </c>
      <c r="B30" s="31" t="s">
        <v>33</v>
      </c>
      <c r="C30" s="30">
        <v>51923.482329999999</v>
      </c>
      <c r="D30" s="30">
        <v>4.0000000000000002E-4</v>
      </c>
      <c r="E30">
        <f t="shared" si="0"/>
        <v>28000.605897606158</v>
      </c>
      <c r="F30">
        <f t="shared" si="1"/>
        <v>28000.5</v>
      </c>
      <c r="G30">
        <f t="shared" si="3"/>
        <v>2.8546499997901265E-2</v>
      </c>
      <c r="K30">
        <f t="shared" si="4"/>
        <v>2.8546499997901265E-2</v>
      </c>
      <c r="Q30" s="2">
        <f t="shared" si="2"/>
        <v>36904.982329999999</v>
      </c>
    </row>
    <row r="31" spans="1:17">
      <c r="A31" s="30" t="s">
        <v>44</v>
      </c>
      <c r="B31" s="31" t="s">
        <v>30</v>
      </c>
      <c r="C31" s="30">
        <v>51923.615109999999</v>
      </c>
      <c r="D31" s="30">
        <v>8.0000000000000004E-4</v>
      </c>
      <c r="E31">
        <f t="shared" si="0"/>
        <v>28001.098465316598</v>
      </c>
      <c r="F31">
        <f t="shared" si="1"/>
        <v>28001</v>
      </c>
      <c r="G31">
        <f t="shared" si="3"/>
        <v>2.6542999999946915E-2</v>
      </c>
      <c r="K31">
        <f t="shared" si="4"/>
        <v>2.6542999999946915E-2</v>
      </c>
      <c r="Q31" s="2">
        <f t="shared" si="2"/>
        <v>36905.115109999999</v>
      </c>
    </row>
    <row r="32" spans="1:17">
      <c r="A32" s="30" t="s">
        <v>44</v>
      </c>
      <c r="B32" s="31" t="s">
        <v>30</v>
      </c>
      <c r="C32" s="30">
        <v>51924.69569</v>
      </c>
      <c r="D32" s="30">
        <v>2E-3</v>
      </c>
      <c r="E32">
        <f t="shared" si="0"/>
        <v>28005.10704203408</v>
      </c>
      <c r="F32">
        <f t="shared" si="1"/>
        <v>28005</v>
      </c>
      <c r="G32">
        <f t="shared" si="3"/>
        <v>2.8855000004114117E-2</v>
      </c>
      <c r="K32">
        <f t="shared" si="4"/>
        <v>2.8855000004114117E-2</v>
      </c>
      <c r="Q32" s="2">
        <f t="shared" si="2"/>
        <v>36906.19569</v>
      </c>
    </row>
    <row r="33" spans="1:17">
      <c r="A33" s="28" t="s">
        <v>36</v>
      </c>
      <c r="B33" s="29"/>
      <c r="C33" s="40">
        <v>52344.409899999999</v>
      </c>
      <c r="D33" s="37"/>
      <c r="E33">
        <f t="shared" si="0"/>
        <v>29562.101073202579</v>
      </c>
      <c r="F33">
        <f t="shared" si="1"/>
        <v>29562</v>
      </c>
      <c r="G33">
        <f t="shared" si="3"/>
        <v>2.724599999783095E-2</v>
      </c>
      <c r="K33">
        <f t="shared" si="4"/>
        <v>2.724599999783095E-2</v>
      </c>
      <c r="Q33" s="2">
        <f t="shared" si="2"/>
        <v>37325.909899999999</v>
      </c>
    </row>
    <row r="34" spans="1:17">
      <c r="A34" s="28" t="s">
        <v>36</v>
      </c>
      <c r="B34" s="29"/>
      <c r="C34" s="40">
        <v>52344.5458</v>
      </c>
      <c r="D34" s="37"/>
      <c r="E34">
        <f t="shared" si="0"/>
        <v>29562.605215030031</v>
      </c>
      <c r="F34">
        <f t="shared" si="1"/>
        <v>29562.5</v>
      </c>
      <c r="G34">
        <f t="shared" si="3"/>
        <v>2.8362500001094304E-2</v>
      </c>
      <c r="K34">
        <f t="shared" si="4"/>
        <v>2.8362500001094304E-2</v>
      </c>
      <c r="Q34" s="2">
        <f t="shared" si="2"/>
        <v>37326.0458</v>
      </c>
    </row>
    <row r="35" spans="1:17">
      <c r="A35" s="28" t="s">
        <v>29</v>
      </c>
      <c r="B35" s="29" t="s">
        <v>30</v>
      </c>
      <c r="C35" s="37">
        <v>52373.3897</v>
      </c>
      <c r="D35" s="37">
        <v>5.0000000000000001E-4</v>
      </c>
      <c r="E35">
        <f t="shared" si="0"/>
        <v>29669.60607195985</v>
      </c>
      <c r="F35">
        <f t="shared" si="1"/>
        <v>29669.5</v>
      </c>
      <c r="G35">
        <f t="shared" si="3"/>
        <v>2.859349999926053E-2</v>
      </c>
      <c r="J35">
        <f>+G35</f>
        <v>2.859349999926053E-2</v>
      </c>
      <c r="Q35" s="2">
        <f t="shared" si="2"/>
        <v>37354.8897</v>
      </c>
    </row>
    <row r="36" spans="1:17">
      <c r="A36" s="28" t="s">
        <v>29</v>
      </c>
      <c r="B36" s="29" t="s">
        <v>30</v>
      </c>
      <c r="C36" s="37">
        <v>52373.524799999999</v>
      </c>
      <c r="D36" s="37">
        <v>1.4E-3</v>
      </c>
      <c r="E36">
        <f t="shared" si="0"/>
        <v>29670.107246064985</v>
      </c>
      <c r="F36">
        <f t="shared" si="1"/>
        <v>29670</v>
      </c>
      <c r="G36">
        <f t="shared" si="3"/>
        <v>2.8910000000905711E-2</v>
      </c>
      <c r="J36">
        <f>+G36</f>
        <v>2.8910000000905711E-2</v>
      </c>
      <c r="Q36" s="2">
        <f t="shared" si="2"/>
        <v>37355.024799999999</v>
      </c>
    </row>
    <row r="37" spans="1:17">
      <c r="A37" s="28" t="s">
        <v>29</v>
      </c>
      <c r="B37" s="29" t="s">
        <v>30</v>
      </c>
      <c r="C37" s="37">
        <v>52715.469899999996</v>
      </c>
      <c r="D37" s="37">
        <v>1.5E-3</v>
      </c>
      <c r="E37">
        <f t="shared" si="0"/>
        <v>30938.604873741951</v>
      </c>
      <c r="F37">
        <f t="shared" si="1"/>
        <v>30938.5</v>
      </c>
      <c r="G37">
        <f t="shared" si="3"/>
        <v>2.8270499999052845E-2</v>
      </c>
      <c r="J37">
        <f>+G37</f>
        <v>2.8270499999052845E-2</v>
      </c>
      <c r="Q37" s="2">
        <f t="shared" si="2"/>
        <v>37696.969899999996</v>
      </c>
    </row>
    <row r="38" spans="1:17">
      <c r="A38" s="32" t="s">
        <v>41</v>
      </c>
      <c r="B38" s="33" t="s">
        <v>30</v>
      </c>
      <c r="C38" s="34">
        <v>52789.465799999998</v>
      </c>
      <c r="D38" s="34">
        <v>1E-4</v>
      </c>
      <c r="E38">
        <f t="shared" si="0"/>
        <v>31213.103977860788</v>
      </c>
      <c r="F38">
        <f t="shared" si="1"/>
        <v>31213</v>
      </c>
      <c r="G38">
        <f t="shared" si="3"/>
        <v>2.8029000000969972E-2</v>
      </c>
      <c r="K38">
        <f>+G38</f>
        <v>2.8029000000969972E-2</v>
      </c>
      <c r="Q38" s="2">
        <f t="shared" si="2"/>
        <v>37770.965799999998</v>
      </c>
    </row>
    <row r="39" spans="1:17">
      <c r="A39" s="32" t="s">
        <v>41</v>
      </c>
      <c r="B39" s="33" t="s">
        <v>30</v>
      </c>
      <c r="C39" s="34">
        <v>52863.326999999997</v>
      </c>
      <c r="D39" s="34">
        <v>1E-4</v>
      </c>
      <c r="E39">
        <f t="shared" si="0"/>
        <v>31487.103391735629</v>
      </c>
      <c r="F39">
        <f t="shared" si="1"/>
        <v>31487</v>
      </c>
      <c r="G39">
        <f t="shared" si="3"/>
        <v>2.7870999998413026E-2</v>
      </c>
      <c r="K39">
        <f>+G39</f>
        <v>2.7870999998413026E-2</v>
      </c>
      <c r="Q39" s="2">
        <f t="shared" si="2"/>
        <v>37844.826999999997</v>
      </c>
    </row>
    <row r="40" spans="1:17">
      <c r="A40" s="35" t="s">
        <v>38</v>
      </c>
      <c r="B40" s="29"/>
      <c r="C40" s="41">
        <v>53148.259400000003</v>
      </c>
      <c r="D40" s="37">
        <v>2.0000000000000001E-4</v>
      </c>
      <c r="E40">
        <f t="shared" si="0"/>
        <v>32544.10369221753</v>
      </c>
      <c r="F40">
        <f t="shared" si="1"/>
        <v>32544</v>
      </c>
      <c r="G40">
        <f t="shared" si="3"/>
        <v>2.795200000400655E-2</v>
      </c>
      <c r="K40">
        <f>+G40</f>
        <v>2.795200000400655E-2</v>
      </c>
      <c r="Q40" s="2">
        <f t="shared" si="2"/>
        <v>38129.759400000003</v>
      </c>
    </row>
    <row r="41" spans="1:17">
      <c r="A41" s="36" t="s">
        <v>42</v>
      </c>
      <c r="B41" s="33"/>
      <c r="C41" s="37">
        <v>53534.413099999998</v>
      </c>
      <c r="D41" s="37">
        <v>1.6999999999999999E-3</v>
      </c>
      <c r="E41">
        <f t="shared" si="0"/>
        <v>33976.599880549169</v>
      </c>
      <c r="F41">
        <f t="shared" si="1"/>
        <v>33976.5</v>
      </c>
      <c r="G41">
        <f t="shared" si="3"/>
        <v>2.6924500001769047E-2</v>
      </c>
      <c r="J41">
        <f>+G41</f>
        <v>2.6924500001769047E-2</v>
      </c>
      <c r="Q41" s="2">
        <f t="shared" si="2"/>
        <v>38515.913099999998</v>
      </c>
    </row>
    <row r="42" spans="1:17">
      <c r="A42" s="30" t="s">
        <v>44</v>
      </c>
      <c r="B42" s="31" t="s">
        <v>30</v>
      </c>
      <c r="C42" s="30">
        <v>54172.614580000001</v>
      </c>
      <c r="D42" s="30">
        <v>2.0000000000000001E-4</v>
      </c>
      <c r="E42">
        <f t="shared" si="0"/>
        <v>36344.1058438162</v>
      </c>
      <c r="F42">
        <f t="shared" si="1"/>
        <v>36344</v>
      </c>
      <c r="G42">
        <f t="shared" si="3"/>
        <v>2.8532000003906433E-2</v>
      </c>
      <c r="K42">
        <f t="shared" ref="K42:K50" si="5">+G42</f>
        <v>2.8532000003906433E-2</v>
      </c>
      <c r="O42">
        <f t="shared" ref="O42:O50" ca="1" si="6">+C$11+C$12*$F42</f>
        <v>3.1274503666241064E-2</v>
      </c>
      <c r="Q42" s="2">
        <f t="shared" si="2"/>
        <v>39154.114580000001</v>
      </c>
    </row>
    <row r="43" spans="1:17">
      <c r="A43" s="37" t="s">
        <v>43</v>
      </c>
      <c r="B43" s="29" t="s">
        <v>30</v>
      </c>
      <c r="C43" s="37">
        <v>54950.720300000001</v>
      </c>
      <c r="D43" s="37">
        <v>1E-3</v>
      </c>
      <c r="E43">
        <f t="shared" si="0"/>
        <v>39230.607975011786</v>
      </c>
      <c r="F43">
        <f t="shared" si="1"/>
        <v>39230.5</v>
      </c>
      <c r="G43">
        <f t="shared" si="3"/>
        <v>2.9106500005582348E-2</v>
      </c>
      <c r="K43">
        <f t="shared" si="5"/>
        <v>2.9106500005582348E-2</v>
      </c>
      <c r="O43">
        <f t="shared" ca="1" si="6"/>
        <v>2.9073811422666469E-2</v>
      </c>
      <c r="Q43" s="2">
        <f t="shared" si="2"/>
        <v>39932.220300000001</v>
      </c>
    </row>
    <row r="44" spans="1:17">
      <c r="A44" s="37" t="s">
        <v>43</v>
      </c>
      <c r="B44" s="29" t="s">
        <v>33</v>
      </c>
      <c r="C44" s="37">
        <v>54950.853999999999</v>
      </c>
      <c r="D44" s="37">
        <v>5.9999999999999995E-4</v>
      </c>
      <c r="E44">
        <f t="shared" si="0"/>
        <v>39231.103955602877</v>
      </c>
      <c r="F44">
        <f t="shared" si="1"/>
        <v>39231</v>
      </c>
      <c r="G44">
        <f t="shared" si="3"/>
        <v>2.8022999998938758E-2</v>
      </c>
      <c r="K44">
        <f t="shared" si="5"/>
        <v>2.8022999998938758E-2</v>
      </c>
      <c r="O44">
        <f t="shared" ca="1" si="6"/>
        <v>2.9073430218397704E-2</v>
      </c>
      <c r="Q44" s="2">
        <f t="shared" si="2"/>
        <v>39932.353999999999</v>
      </c>
    </row>
    <row r="45" spans="1:17">
      <c r="A45" s="42" t="s">
        <v>53</v>
      </c>
      <c r="B45" s="43" t="s">
        <v>30</v>
      </c>
      <c r="C45" s="42">
        <v>55629.893100000001</v>
      </c>
      <c r="D45" s="42">
        <v>2.9999999999999997E-4</v>
      </c>
      <c r="E45">
        <f t="shared" si="0"/>
        <v>41750.103313832929</v>
      </c>
      <c r="F45">
        <f t="shared" si="1"/>
        <v>41750</v>
      </c>
      <c r="G45">
        <f t="shared" si="3"/>
        <v>2.7849999998579733E-2</v>
      </c>
      <c r="K45">
        <f t="shared" si="5"/>
        <v>2.7849999998579733E-2</v>
      </c>
      <c r="O45">
        <f t="shared" ca="1" si="6"/>
        <v>2.7152923112364655E-2</v>
      </c>
      <c r="Q45" s="2">
        <f t="shared" si="2"/>
        <v>40611.393100000001</v>
      </c>
    </row>
    <row r="46" spans="1:17">
      <c r="A46" s="37" t="s">
        <v>54</v>
      </c>
      <c r="B46" s="29" t="s">
        <v>30</v>
      </c>
      <c r="C46" s="37">
        <v>56001.895499999999</v>
      </c>
      <c r="D46" s="37">
        <v>2.0000000000000001E-4</v>
      </c>
      <c r="E46">
        <f t="shared" si="0"/>
        <v>43130.103091253746</v>
      </c>
      <c r="F46">
        <f t="shared" si="1"/>
        <v>43130</v>
      </c>
      <c r="G46">
        <f t="shared" si="3"/>
        <v>2.7790000000095461E-2</v>
      </c>
      <c r="K46">
        <f t="shared" si="5"/>
        <v>2.7790000000095461E-2</v>
      </c>
      <c r="O46">
        <f t="shared" ca="1" si="6"/>
        <v>2.6100799330576005E-2</v>
      </c>
      <c r="Q46" s="2">
        <f t="shared" si="2"/>
        <v>40983.395499999999</v>
      </c>
    </row>
    <row r="47" spans="1:17">
      <c r="A47" s="36" t="s">
        <v>55</v>
      </c>
      <c r="B47" s="29" t="s">
        <v>56</v>
      </c>
      <c r="C47" s="37">
        <v>56443.712549999997</v>
      </c>
      <c r="D47" s="37">
        <v>1.8000000000000001E-4</v>
      </c>
      <c r="E47">
        <f t="shared" si="0"/>
        <v>44769.090986656367</v>
      </c>
      <c r="F47">
        <f t="shared" si="1"/>
        <v>44769</v>
      </c>
      <c r="G47">
        <f t="shared" si="3"/>
        <v>2.4527000001398847E-2</v>
      </c>
      <c r="K47">
        <f t="shared" si="5"/>
        <v>2.4527000001398847E-2</v>
      </c>
      <c r="O47">
        <f t="shared" ca="1" si="6"/>
        <v>2.4851211737567595E-2</v>
      </c>
      <c r="Q47" s="2">
        <f t="shared" si="2"/>
        <v>41425.212549999997</v>
      </c>
    </row>
    <row r="48" spans="1:17">
      <c r="A48" s="36" t="s">
        <v>55</v>
      </c>
      <c r="B48" s="29" t="s">
        <v>56</v>
      </c>
      <c r="C48" s="37">
        <v>56443.713389999997</v>
      </c>
      <c r="D48" s="37">
        <v>6.0000000000000002E-5</v>
      </c>
      <c r="E48">
        <f t="shared" si="0"/>
        <v>44769.094102764793</v>
      </c>
      <c r="F48">
        <f t="shared" si="1"/>
        <v>44769</v>
      </c>
      <c r="G48">
        <f t="shared" si="3"/>
        <v>2.5367000002006534E-2</v>
      </c>
      <c r="K48">
        <f t="shared" si="5"/>
        <v>2.5367000002006534E-2</v>
      </c>
      <c r="O48">
        <f t="shared" ca="1" si="6"/>
        <v>2.4851211737567595E-2</v>
      </c>
      <c r="Q48" s="2">
        <f t="shared" si="2"/>
        <v>41425.213389999997</v>
      </c>
    </row>
    <row r="49" spans="1:17">
      <c r="A49" s="36" t="s">
        <v>55</v>
      </c>
      <c r="B49" s="29" t="s">
        <v>56</v>
      </c>
      <c r="C49" s="37">
        <v>56443.71443</v>
      </c>
      <c r="D49" s="37">
        <v>2.1000000000000001E-4</v>
      </c>
      <c r="E49">
        <f t="shared" si="0"/>
        <v>44769.097960803811</v>
      </c>
      <c r="F49">
        <f t="shared" si="1"/>
        <v>44769</v>
      </c>
      <c r="G49">
        <f t="shared" si="3"/>
        <v>2.6407000004837755E-2</v>
      </c>
      <c r="K49">
        <f t="shared" si="5"/>
        <v>2.6407000004837755E-2</v>
      </c>
      <c r="O49">
        <f t="shared" ca="1" si="6"/>
        <v>2.4851211737567595E-2</v>
      </c>
      <c r="Q49" s="2">
        <f t="shared" si="2"/>
        <v>41425.21443</v>
      </c>
    </row>
    <row r="50" spans="1:17">
      <c r="A50" s="57" t="s">
        <v>185</v>
      </c>
      <c r="B50" s="58" t="s">
        <v>30</v>
      </c>
      <c r="C50" s="57">
        <v>56789.027699999999</v>
      </c>
      <c r="D50" s="57" t="s">
        <v>67</v>
      </c>
      <c r="E50">
        <f t="shared" si="0"/>
        <v>46050.090330047817</v>
      </c>
      <c r="F50">
        <f t="shared" si="1"/>
        <v>46050</v>
      </c>
      <c r="G50">
        <f t="shared" si="3"/>
        <v>2.4349999999685679E-2</v>
      </c>
      <c r="K50">
        <f t="shared" si="5"/>
        <v>2.4349999999685679E-2</v>
      </c>
      <c r="O50">
        <f t="shared" ca="1" si="6"/>
        <v>2.3874566400994224E-2</v>
      </c>
      <c r="Q50" s="2">
        <f t="shared" si="2"/>
        <v>41770.527699999999</v>
      </c>
    </row>
    <row r="51" spans="1:17">
      <c r="A51" s="59" t="s">
        <v>0</v>
      </c>
      <c r="B51" s="72" t="s">
        <v>30</v>
      </c>
      <c r="C51" s="63">
        <v>57855.433900000004</v>
      </c>
      <c r="D51" s="60">
        <v>8.9999999999999998E-4</v>
      </c>
      <c r="E51">
        <f>+(C51-C$7)/C$8</f>
        <v>50006.087169423576</v>
      </c>
      <c r="F51">
        <f t="shared" si="1"/>
        <v>50006</v>
      </c>
      <c r="G51">
        <f>+C51-(C$7+F51*C$8)</f>
        <v>2.3498000002291519E-2</v>
      </c>
      <c r="K51">
        <f>+G51</f>
        <v>2.3498000002291519E-2</v>
      </c>
      <c r="O51">
        <f ca="1">+C$11+C$12*$F51</f>
        <v>2.0858478226533424E-2</v>
      </c>
      <c r="Q51" s="2">
        <f>+C51-15018.5</f>
        <v>42836.933900000004</v>
      </c>
    </row>
    <row r="52" spans="1:17">
      <c r="A52" s="61" t="s">
        <v>186</v>
      </c>
      <c r="B52" s="62" t="s">
        <v>30</v>
      </c>
      <c r="C52" s="64">
        <v>59365.406400000211</v>
      </c>
      <c r="D52" s="70" t="s">
        <v>66</v>
      </c>
      <c r="E52">
        <f t="shared" ref="E52:E57" si="7">+(C52-C$7)/C$8</f>
        <v>55607.561014516657</v>
      </c>
      <c r="F52">
        <f t="shared" ref="F52:F57" si="8">ROUND(2*E52,0)/2</f>
        <v>55607.5</v>
      </c>
      <c r="G52">
        <f t="shared" ref="G52:G57" si="9">+C52-(C$7+F52*C$8)</f>
        <v>1.6447500209324062E-2</v>
      </c>
      <c r="K52">
        <f t="shared" ref="K52:K57" si="10">+G52</f>
        <v>1.6447500209324062E-2</v>
      </c>
      <c r="O52">
        <f t="shared" ref="O52:O57" ca="1" si="11">+C$11+C$12*$F52</f>
        <v>1.658784680357029E-2</v>
      </c>
      <c r="Q52" s="2">
        <f t="shared" ref="Q52:Q57" si="12">+C52-15018.5</f>
        <v>44346.906400000211</v>
      </c>
    </row>
    <row r="53" spans="1:17">
      <c r="A53" s="61" t="s">
        <v>186</v>
      </c>
      <c r="B53" s="62" t="s">
        <v>30</v>
      </c>
      <c r="C53" s="64">
        <v>59366.484100000001</v>
      </c>
      <c r="D53" s="70" t="s">
        <v>66</v>
      </c>
      <c r="E53">
        <f t="shared" si="7"/>
        <v>55611.558907433042</v>
      </c>
      <c r="F53">
        <f t="shared" si="8"/>
        <v>55611.5</v>
      </c>
      <c r="G53">
        <f t="shared" si="9"/>
        <v>1.5879500002483837E-2</v>
      </c>
      <c r="K53">
        <f t="shared" si="10"/>
        <v>1.5879500002483837E-2</v>
      </c>
      <c r="O53">
        <f t="shared" ca="1" si="11"/>
        <v>1.6584797169420178E-2</v>
      </c>
      <c r="Q53" s="2">
        <f t="shared" si="12"/>
        <v>44347.984100000001</v>
      </c>
    </row>
    <row r="54" spans="1:17">
      <c r="A54" s="61" t="s">
        <v>186</v>
      </c>
      <c r="B54" s="62" t="s">
        <v>30</v>
      </c>
      <c r="C54" s="64">
        <v>59367.428299999796</v>
      </c>
      <c r="D54" s="70" t="s">
        <v>66</v>
      </c>
      <c r="E54">
        <f t="shared" si="7"/>
        <v>55615.061561688919</v>
      </c>
      <c r="F54">
        <f t="shared" si="8"/>
        <v>55615</v>
      </c>
      <c r="G54">
        <f t="shared" si="9"/>
        <v>1.6594999797234777E-2</v>
      </c>
      <c r="K54">
        <f t="shared" si="10"/>
        <v>1.6594999797234777E-2</v>
      </c>
      <c r="O54">
        <f t="shared" ca="1" si="11"/>
        <v>1.6582128739538828E-2</v>
      </c>
      <c r="Q54" s="2">
        <f t="shared" si="12"/>
        <v>44348.928299999796</v>
      </c>
    </row>
    <row r="55" spans="1:17">
      <c r="A55" s="61" t="s">
        <v>186</v>
      </c>
      <c r="B55" s="62" t="s">
        <v>30</v>
      </c>
      <c r="C55" s="64">
        <v>59379.422900000121</v>
      </c>
      <c r="D55" s="70" t="s">
        <v>66</v>
      </c>
      <c r="E55">
        <f t="shared" si="7"/>
        <v>55659.557364217886</v>
      </c>
      <c r="F55">
        <f t="shared" si="8"/>
        <v>55659.5</v>
      </c>
      <c r="G55">
        <f t="shared" si="9"/>
        <v>1.5463500123587437E-2</v>
      </c>
      <c r="K55">
        <f t="shared" si="10"/>
        <v>1.5463500123587437E-2</v>
      </c>
      <c r="O55">
        <f t="shared" ca="1" si="11"/>
        <v>1.6548201559618829E-2</v>
      </c>
      <c r="Q55" s="2">
        <f t="shared" si="12"/>
        <v>44360.922900000121</v>
      </c>
    </row>
    <row r="56" spans="1:17">
      <c r="A56" s="61" t="s">
        <v>186</v>
      </c>
      <c r="B56" s="62" t="s">
        <v>30</v>
      </c>
      <c r="C56" s="64">
        <v>59380.367399999872</v>
      </c>
      <c r="D56" s="70" t="s">
        <v>66</v>
      </c>
      <c r="E56">
        <f t="shared" si="7"/>
        <v>55663.061131369468</v>
      </c>
      <c r="F56">
        <f t="shared" si="8"/>
        <v>55663</v>
      </c>
      <c r="G56">
        <f t="shared" si="9"/>
        <v>1.6478999874379952E-2</v>
      </c>
      <c r="K56">
        <f t="shared" si="10"/>
        <v>1.6478999874379952E-2</v>
      </c>
      <c r="O56">
        <f t="shared" ca="1" si="11"/>
        <v>1.6545533129737486E-2</v>
      </c>
      <c r="Q56" s="2">
        <f t="shared" si="12"/>
        <v>44361.867399999872</v>
      </c>
    </row>
    <row r="57" spans="1:17">
      <c r="A57" s="61" t="s">
        <v>186</v>
      </c>
      <c r="B57" s="62" t="s">
        <v>30</v>
      </c>
      <c r="C57" s="64">
        <v>59380.500800000038</v>
      </c>
      <c r="D57" s="70" t="s">
        <v>66</v>
      </c>
      <c r="E57">
        <f t="shared" si="7"/>
        <v>55663.555999065313</v>
      </c>
      <c r="F57">
        <f t="shared" si="8"/>
        <v>55663.5</v>
      </c>
      <c r="G57">
        <f t="shared" si="9"/>
        <v>1.5095500042662024E-2</v>
      </c>
      <c r="K57">
        <f t="shared" si="10"/>
        <v>1.5095500042662024E-2</v>
      </c>
      <c r="O57">
        <f t="shared" ca="1" si="11"/>
        <v>1.6545151925468717E-2</v>
      </c>
      <c r="Q57" s="2">
        <f t="shared" si="12"/>
        <v>44362.000800000038</v>
      </c>
    </row>
    <row r="58" spans="1:17">
      <c r="A58" s="61" t="s">
        <v>187</v>
      </c>
      <c r="B58" s="62" t="s">
        <v>30</v>
      </c>
      <c r="C58" s="65">
        <v>59717.462099999997</v>
      </c>
      <c r="D58" s="70">
        <v>3.5000000000000001E-3</v>
      </c>
      <c r="E58">
        <f t="shared" ref="E58" si="13">+(C58-C$7)/C$8</f>
        <v>56913.565458680023</v>
      </c>
      <c r="F58">
        <f t="shared" ref="F58" si="14">ROUND(2*E58,0)/2</f>
        <v>56913.5</v>
      </c>
      <c r="G58">
        <f t="shared" ref="G58" si="15">+C58-(C$7+F58*C$8)</f>
        <v>1.76454999964335E-2</v>
      </c>
      <c r="K58">
        <f t="shared" ref="K58" si="16">+G58</f>
        <v>1.76454999964335E-2</v>
      </c>
      <c r="O58">
        <f t="shared" ref="O58" ca="1" si="17">+C$11+C$12*$F58</f>
        <v>1.5592141253558713E-2</v>
      </c>
      <c r="Q58" s="2">
        <f t="shared" ref="Q58" si="18">+C58-15018.5</f>
        <v>44698.962099999997</v>
      </c>
    </row>
    <row r="59" spans="1:17">
      <c r="A59" s="66" t="s">
        <v>188</v>
      </c>
      <c r="B59" s="67" t="s">
        <v>30</v>
      </c>
      <c r="C59" s="71">
        <v>59745.35999999987</v>
      </c>
      <c r="D59" s="38"/>
      <c r="E59">
        <f t="shared" ref="E59:E68" si="19">+(C59-C$7)/C$8</f>
        <v>57017.056983977527</v>
      </c>
      <c r="F59">
        <f t="shared" ref="F59:F68" si="20">ROUND(2*E59,0)/2</f>
        <v>57017</v>
      </c>
      <c r="G59">
        <f t="shared" ref="G59:G68" si="21">+C59-(C$7+F59*C$8)</f>
        <v>1.5360999866970815E-2</v>
      </c>
      <c r="K59">
        <f t="shared" ref="K59:K68" si="22">+G59</f>
        <v>1.5360999866970815E-2</v>
      </c>
      <c r="O59">
        <f t="shared" ref="O59:O68" ca="1" si="23">+C$11+C$12*$F59</f>
        <v>1.551323196992456E-2</v>
      </c>
      <c r="Q59" s="2">
        <f t="shared" ref="Q59:Q68" si="24">+C59-15018.5</f>
        <v>44726.85999999987</v>
      </c>
    </row>
    <row r="60" spans="1:17">
      <c r="A60" s="66" t="s">
        <v>188</v>
      </c>
      <c r="B60" s="67" t="s">
        <v>33</v>
      </c>
      <c r="C60" s="71">
        <v>59745.4944000002</v>
      </c>
      <c r="D60" s="38"/>
      <c r="E60">
        <f t="shared" si="19"/>
        <v>57017.555561326873</v>
      </c>
      <c r="F60">
        <f t="shared" si="20"/>
        <v>57017.5</v>
      </c>
      <c r="G60">
        <f t="shared" si="21"/>
        <v>1.4977500199165661E-2</v>
      </c>
      <c r="K60">
        <f t="shared" si="22"/>
        <v>1.4977500199165661E-2</v>
      </c>
      <c r="O60">
        <f t="shared" ca="1" si="23"/>
        <v>1.5512850765655797E-2</v>
      </c>
      <c r="Q60" s="2">
        <f t="shared" si="24"/>
        <v>44726.9944000002</v>
      </c>
    </row>
    <row r="61" spans="1:17">
      <c r="A61" s="66" t="s">
        <v>188</v>
      </c>
      <c r="B61" s="67" t="s">
        <v>30</v>
      </c>
      <c r="C61" s="71">
        <v>59746.438000000082</v>
      </c>
      <c r="D61" s="38"/>
      <c r="E61">
        <f t="shared" si="19"/>
        <v>57021.055989791341</v>
      </c>
      <c r="F61">
        <f t="shared" si="20"/>
        <v>57021</v>
      </c>
      <c r="G61">
        <f t="shared" si="21"/>
        <v>1.5093000081833452E-2</v>
      </c>
      <c r="K61">
        <f t="shared" si="22"/>
        <v>1.5093000081833452E-2</v>
      </c>
      <c r="O61">
        <f t="shared" ca="1" si="23"/>
        <v>1.5510182335774447E-2</v>
      </c>
      <c r="Q61" s="2">
        <f t="shared" si="24"/>
        <v>44727.938000000082</v>
      </c>
    </row>
    <row r="62" spans="1:17">
      <c r="A62" s="66" t="s">
        <v>188</v>
      </c>
      <c r="B62" s="67" t="s">
        <v>33</v>
      </c>
      <c r="C62" s="71">
        <v>59748.459499999881</v>
      </c>
      <c r="D62" s="38"/>
      <c r="E62">
        <f t="shared" si="19"/>
        <v>57028.555053103242</v>
      </c>
      <c r="F62">
        <f t="shared" si="20"/>
        <v>57028.5</v>
      </c>
      <c r="G62">
        <f t="shared" si="21"/>
        <v>1.4840499883575831E-2</v>
      </c>
      <c r="K62">
        <f t="shared" si="22"/>
        <v>1.4840499883575831E-2</v>
      </c>
      <c r="O62">
        <f t="shared" ca="1" si="23"/>
        <v>1.5504464271742992E-2</v>
      </c>
      <c r="Q62" s="2">
        <f t="shared" si="24"/>
        <v>44729.959499999881</v>
      </c>
    </row>
    <row r="63" spans="1:17">
      <c r="A63" s="66" t="s">
        <v>188</v>
      </c>
      <c r="B63" s="67" t="s">
        <v>30</v>
      </c>
      <c r="C63" s="71">
        <v>59749.404099999927</v>
      </c>
      <c r="D63" s="38"/>
      <c r="E63">
        <f t="shared" si="19"/>
        <v>57032.059191221211</v>
      </c>
      <c r="F63">
        <f t="shared" si="20"/>
        <v>57032</v>
      </c>
      <c r="G63">
        <f t="shared" si="21"/>
        <v>1.5955999930156395E-2</v>
      </c>
      <c r="K63">
        <f t="shared" si="22"/>
        <v>1.5955999930156395E-2</v>
      </c>
      <c r="O63">
        <f t="shared" ca="1" si="23"/>
        <v>1.5501795841861642E-2</v>
      </c>
      <c r="Q63" s="2">
        <f t="shared" si="24"/>
        <v>44730.904099999927</v>
      </c>
    </row>
    <row r="64" spans="1:17">
      <c r="A64" s="66" t="s">
        <v>188</v>
      </c>
      <c r="B64" s="67" t="s">
        <v>33</v>
      </c>
      <c r="C64" s="71">
        <v>59751.425400000066</v>
      </c>
      <c r="D64" s="38"/>
      <c r="E64">
        <f t="shared" si="19"/>
        <v>57039.557512603795</v>
      </c>
      <c r="F64">
        <f t="shared" si="20"/>
        <v>57039.5</v>
      </c>
      <c r="G64">
        <f t="shared" si="21"/>
        <v>1.5503500064369291E-2</v>
      </c>
      <c r="K64">
        <f t="shared" si="22"/>
        <v>1.5503500064369291E-2</v>
      </c>
      <c r="O64">
        <f t="shared" ca="1" si="23"/>
        <v>1.5496077777830179E-2</v>
      </c>
      <c r="Q64" s="2">
        <f t="shared" si="24"/>
        <v>44732.925400000066</v>
      </c>
    </row>
    <row r="65" spans="1:17">
      <c r="A65" s="66" t="s">
        <v>188</v>
      </c>
      <c r="B65" s="67" t="s">
        <v>33</v>
      </c>
      <c r="C65" s="71">
        <v>59762.477299999911</v>
      </c>
      <c r="D65" s="38"/>
      <c r="E65">
        <f t="shared" si="19"/>
        <v>57080.55622535367</v>
      </c>
      <c r="F65">
        <f t="shared" si="20"/>
        <v>57080.5</v>
      </c>
      <c r="G65">
        <f t="shared" si="21"/>
        <v>1.5156499910517596E-2</v>
      </c>
      <c r="K65">
        <f t="shared" si="22"/>
        <v>1.5156499910517596E-2</v>
      </c>
      <c r="O65">
        <f t="shared" ca="1" si="23"/>
        <v>1.5464819027791531E-2</v>
      </c>
      <c r="Q65" s="2">
        <f t="shared" si="24"/>
        <v>44743.977299999911</v>
      </c>
    </row>
    <row r="66" spans="1:17">
      <c r="A66" s="66" t="s">
        <v>188</v>
      </c>
      <c r="B66" s="67" t="s">
        <v>30</v>
      </c>
      <c r="C66" s="71">
        <v>59763.420899999794</v>
      </c>
      <c r="D66" s="38"/>
      <c r="E66">
        <f t="shared" si="19"/>
        <v>57084.056653818137</v>
      </c>
      <c r="F66">
        <f t="shared" si="20"/>
        <v>57084</v>
      </c>
      <c r="G66">
        <f t="shared" si="21"/>
        <v>1.5271999793185387E-2</v>
      </c>
      <c r="K66">
        <f t="shared" si="22"/>
        <v>1.5271999793185387E-2</v>
      </c>
      <c r="O66">
        <f t="shared" ca="1" si="23"/>
        <v>1.5462150597910188E-2</v>
      </c>
      <c r="Q66" s="2">
        <f t="shared" si="24"/>
        <v>44744.920899999794</v>
      </c>
    </row>
    <row r="67" spans="1:17">
      <c r="A67" s="68" t="s">
        <v>188</v>
      </c>
      <c r="B67" s="69" t="s">
        <v>30</v>
      </c>
      <c r="C67" s="71">
        <v>59766.386099999771</v>
      </c>
      <c r="D67" s="38"/>
      <c r="E67">
        <f t="shared" si="19"/>
        <v>57095.056516560893</v>
      </c>
      <c r="F67">
        <f t="shared" si="20"/>
        <v>57095</v>
      </c>
      <c r="G67">
        <f t="shared" si="21"/>
        <v>1.5234999773383606E-2</v>
      </c>
      <c r="K67">
        <f t="shared" si="22"/>
        <v>1.5234999773383606E-2</v>
      </c>
      <c r="O67">
        <f t="shared" ca="1" si="23"/>
        <v>1.5453764103997375E-2</v>
      </c>
      <c r="Q67" s="2">
        <f t="shared" si="24"/>
        <v>44747.886099999771</v>
      </c>
    </row>
    <row r="68" spans="1:17">
      <c r="A68" s="66" t="s">
        <v>188</v>
      </c>
      <c r="B68" s="67" t="s">
        <v>30</v>
      </c>
      <c r="C68" s="71">
        <v>59767.464499999769</v>
      </c>
      <c r="D68" s="38"/>
      <c r="E68">
        <f t="shared" si="19"/>
        <v>57099.057006235074</v>
      </c>
      <c r="F68">
        <f t="shared" si="20"/>
        <v>57099</v>
      </c>
      <c r="G68">
        <f t="shared" si="21"/>
        <v>1.5366999767138623E-2</v>
      </c>
      <c r="K68">
        <f t="shared" si="22"/>
        <v>1.5366999767138623E-2</v>
      </c>
      <c r="O68">
        <f t="shared" ca="1" si="23"/>
        <v>1.5450714469847263E-2</v>
      </c>
      <c r="Q68" s="2">
        <f t="shared" si="24"/>
        <v>44748.964499999769</v>
      </c>
    </row>
    <row r="69" spans="1:17">
      <c r="B69" s="5"/>
      <c r="C69" s="38"/>
      <c r="D69" s="38"/>
    </row>
    <row r="70" spans="1:17">
      <c r="B70" s="5"/>
      <c r="C70" s="38"/>
      <c r="D70" s="38"/>
    </row>
    <row r="71" spans="1:17">
      <c r="B71" s="5"/>
      <c r="C71" s="38"/>
      <c r="D71" s="38"/>
    </row>
    <row r="72" spans="1:17">
      <c r="B72" s="5"/>
      <c r="C72" s="38"/>
      <c r="D72" s="38"/>
    </row>
    <row r="73" spans="1:17">
      <c r="B73" s="5"/>
      <c r="C73" s="38"/>
      <c r="D73" s="38"/>
    </row>
    <row r="74" spans="1:17">
      <c r="B74" s="5"/>
      <c r="C74" s="38"/>
      <c r="D74" s="38"/>
    </row>
    <row r="75" spans="1:17">
      <c r="B75" s="5"/>
      <c r="C75" s="38"/>
      <c r="D75" s="38"/>
    </row>
    <row r="76" spans="1:17">
      <c r="B76" s="5"/>
      <c r="C76" s="38"/>
      <c r="D76" s="38"/>
    </row>
    <row r="77" spans="1:17">
      <c r="B77" s="5"/>
      <c r="C77" s="38"/>
      <c r="D77" s="38"/>
    </row>
    <row r="78" spans="1:17">
      <c r="B78" s="5"/>
      <c r="C78" s="38"/>
      <c r="D78" s="38"/>
    </row>
    <row r="79" spans="1:17">
      <c r="B79" s="5"/>
      <c r="C79" s="38"/>
      <c r="D79" s="38"/>
    </row>
    <row r="80" spans="1:17">
      <c r="B80" s="5"/>
      <c r="C80" s="38"/>
      <c r="D80" s="38"/>
    </row>
    <row r="81" spans="2:4">
      <c r="B81" s="5"/>
      <c r="C81" s="38"/>
      <c r="D81" s="38"/>
    </row>
    <row r="82" spans="2:4">
      <c r="B82" s="5"/>
      <c r="C82" s="38"/>
      <c r="D82" s="38"/>
    </row>
    <row r="83" spans="2:4">
      <c r="B83" s="5"/>
      <c r="C83" s="38"/>
      <c r="D83" s="38"/>
    </row>
    <row r="84" spans="2:4">
      <c r="B84" s="5"/>
      <c r="C84" s="38"/>
      <c r="D84" s="38"/>
    </row>
    <row r="85" spans="2:4">
      <c r="B85" s="5"/>
      <c r="C85" s="38"/>
      <c r="D85" s="38"/>
    </row>
    <row r="86" spans="2:4">
      <c r="B86" s="5"/>
      <c r="C86" s="38"/>
      <c r="D86" s="38"/>
    </row>
    <row r="87" spans="2:4">
      <c r="B87" s="5"/>
      <c r="C87" s="38"/>
      <c r="D87" s="38"/>
    </row>
    <row r="88" spans="2:4">
      <c r="B88" s="5"/>
      <c r="C88" s="38"/>
      <c r="D88" s="38"/>
    </row>
    <row r="89" spans="2:4">
      <c r="B89" s="5"/>
      <c r="C89" s="38"/>
      <c r="D89" s="38"/>
    </row>
    <row r="90" spans="2:4">
      <c r="B90" s="5"/>
      <c r="C90" s="38"/>
      <c r="D90" s="38"/>
    </row>
    <row r="91" spans="2:4">
      <c r="B91" s="5"/>
      <c r="C91" s="38"/>
      <c r="D91" s="38"/>
    </row>
    <row r="92" spans="2:4">
      <c r="B92" s="5"/>
      <c r="C92" s="38"/>
      <c r="D92" s="38"/>
    </row>
    <row r="93" spans="2:4">
      <c r="B93" s="5"/>
      <c r="C93" s="38"/>
      <c r="D93" s="38"/>
    </row>
    <row r="94" spans="2:4">
      <c r="B94" s="5"/>
      <c r="C94" s="38"/>
      <c r="D94" s="38"/>
    </row>
    <row r="95" spans="2:4">
      <c r="B95" s="5"/>
      <c r="C95" s="38"/>
      <c r="D95" s="38"/>
    </row>
    <row r="96" spans="2:4">
      <c r="B96" s="5"/>
      <c r="C96" s="38"/>
      <c r="D96" s="38"/>
    </row>
    <row r="97" spans="2:4">
      <c r="B97" s="5"/>
      <c r="C97" s="38"/>
      <c r="D97" s="38"/>
    </row>
    <row r="98" spans="2:4">
      <c r="B98" s="5"/>
      <c r="C98" s="38"/>
      <c r="D98" s="38"/>
    </row>
    <row r="99" spans="2:4">
      <c r="B99" s="5"/>
      <c r="C99" s="38"/>
      <c r="D99" s="38"/>
    </row>
    <row r="100" spans="2:4">
      <c r="B100" s="5"/>
      <c r="C100" s="38"/>
      <c r="D100" s="38"/>
    </row>
    <row r="101" spans="2:4">
      <c r="B101" s="5"/>
      <c r="C101" s="38"/>
      <c r="D101" s="38"/>
    </row>
    <row r="102" spans="2:4">
      <c r="B102" s="5"/>
      <c r="C102" s="38"/>
      <c r="D102" s="38"/>
    </row>
    <row r="103" spans="2:4">
      <c r="B103" s="5"/>
      <c r="C103" s="38"/>
      <c r="D103" s="38"/>
    </row>
    <row r="104" spans="2:4">
      <c r="B104" s="5"/>
      <c r="C104" s="38"/>
      <c r="D104" s="38"/>
    </row>
    <row r="105" spans="2:4">
      <c r="B105" s="5"/>
      <c r="C105" s="38"/>
      <c r="D105" s="38"/>
    </row>
    <row r="106" spans="2:4">
      <c r="B106" s="5"/>
      <c r="C106" s="38"/>
      <c r="D106" s="38"/>
    </row>
    <row r="107" spans="2:4">
      <c r="B107" s="5"/>
      <c r="C107" s="38"/>
      <c r="D107" s="38"/>
    </row>
    <row r="108" spans="2:4">
      <c r="B108" s="5"/>
      <c r="C108" s="38"/>
      <c r="D108" s="38"/>
    </row>
    <row r="109" spans="2:4">
      <c r="B109" s="5"/>
      <c r="C109" s="38"/>
      <c r="D109" s="38"/>
    </row>
    <row r="110" spans="2:4">
      <c r="B110" s="5"/>
      <c r="C110" s="38"/>
      <c r="D110" s="38"/>
    </row>
    <row r="111" spans="2:4">
      <c r="B111" s="5"/>
      <c r="C111" s="38"/>
      <c r="D111" s="38"/>
    </row>
    <row r="112" spans="2:4">
      <c r="B112" s="5"/>
      <c r="C112" s="38"/>
      <c r="D112" s="38"/>
    </row>
    <row r="113" spans="2:4">
      <c r="B113" s="5"/>
      <c r="C113" s="38"/>
      <c r="D113" s="38"/>
    </row>
    <row r="114" spans="2:4">
      <c r="B114" s="5"/>
      <c r="C114" s="38"/>
      <c r="D114" s="38"/>
    </row>
    <row r="115" spans="2:4">
      <c r="B115" s="5"/>
      <c r="C115" s="38"/>
      <c r="D115" s="38"/>
    </row>
    <row r="116" spans="2:4">
      <c r="B116" s="5"/>
      <c r="C116" s="38"/>
      <c r="D116" s="38"/>
    </row>
    <row r="117" spans="2:4">
      <c r="B117" s="5"/>
      <c r="C117" s="38"/>
      <c r="D117" s="38"/>
    </row>
    <row r="118" spans="2:4">
      <c r="B118" s="5"/>
      <c r="C118" s="38"/>
      <c r="D118" s="38"/>
    </row>
    <row r="119" spans="2:4">
      <c r="B119" s="5"/>
      <c r="C119" s="38"/>
      <c r="D119" s="38"/>
    </row>
    <row r="120" spans="2:4">
      <c r="B120" s="5"/>
      <c r="C120" s="38"/>
      <c r="D120" s="38"/>
    </row>
    <row r="121" spans="2:4">
      <c r="B121" s="5"/>
      <c r="C121" s="38"/>
      <c r="D121" s="38"/>
    </row>
    <row r="122" spans="2:4">
      <c r="B122" s="5"/>
      <c r="C122" s="38"/>
      <c r="D122" s="38"/>
    </row>
    <row r="123" spans="2:4">
      <c r="B123" s="5"/>
      <c r="C123" s="38"/>
      <c r="D123" s="38"/>
    </row>
    <row r="124" spans="2:4">
      <c r="B124" s="5"/>
      <c r="C124" s="38"/>
      <c r="D124" s="38"/>
    </row>
    <row r="125" spans="2:4">
      <c r="B125" s="5"/>
      <c r="C125" s="38"/>
      <c r="D125" s="38"/>
    </row>
    <row r="126" spans="2:4">
      <c r="B126" s="5"/>
      <c r="C126" s="38"/>
      <c r="D126" s="38"/>
    </row>
    <row r="127" spans="2:4">
      <c r="B127" s="5"/>
      <c r="C127" s="38"/>
      <c r="D127" s="38"/>
    </row>
    <row r="128" spans="2:4">
      <c r="B128" s="5"/>
      <c r="C128" s="38"/>
      <c r="D128" s="38"/>
    </row>
    <row r="129" spans="2:4">
      <c r="B129" s="5"/>
      <c r="C129" s="38"/>
      <c r="D129" s="38"/>
    </row>
    <row r="130" spans="2:4">
      <c r="B130" s="5"/>
      <c r="C130" s="38"/>
      <c r="D130" s="38"/>
    </row>
    <row r="131" spans="2:4">
      <c r="B131" s="5"/>
      <c r="C131" s="38"/>
      <c r="D131" s="38"/>
    </row>
    <row r="132" spans="2:4">
      <c r="B132" s="5"/>
      <c r="C132" s="38"/>
      <c r="D132" s="38"/>
    </row>
    <row r="133" spans="2:4">
      <c r="B133" s="5"/>
      <c r="C133" s="38"/>
      <c r="D133" s="38"/>
    </row>
    <row r="134" spans="2:4">
      <c r="B134" s="5"/>
      <c r="C134" s="38"/>
      <c r="D134" s="38"/>
    </row>
    <row r="135" spans="2:4">
      <c r="B135" s="5"/>
      <c r="C135" s="38"/>
      <c r="D135" s="38"/>
    </row>
    <row r="136" spans="2:4">
      <c r="B136" s="5"/>
      <c r="C136" s="38"/>
      <c r="D136" s="38"/>
    </row>
    <row r="137" spans="2:4">
      <c r="B137" s="5"/>
      <c r="C137" s="38"/>
      <c r="D137" s="38"/>
    </row>
    <row r="138" spans="2:4">
      <c r="B138" s="5"/>
      <c r="C138" s="38"/>
      <c r="D138" s="38"/>
    </row>
    <row r="139" spans="2:4">
      <c r="B139" s="5"/>
      <c r="C139" s="38"/>
      <c r="D139" s="38"/>
    </row>
    <row r="140" spans="2:4">
      <c r="B140" s="5"/>
      <c r="C140" s="38"/>
      <c r="D140" s="38"/>
    </row>
    <row r="141" spans="2:4">
      <c r="B141" s="5"/>
      <c r="C141" s="38"/>
      <c r="D141" s="38"/>
    </row>
    <row r="142" spans="2:4">
      <c r="B142" s="5"/>
      <c r="C142" s="38"/>
      <c r="D142" s="38"/>
    </row>
    <row r="143" spans="2:4">
      <c r="B143" s="5"/>
      <c r="C143" s="38"/>
      <c r="D143" s="38"/>
    </row>
    <row r="144" spans="2:4">
      <c r="B144" s="5"/>
      <c r="C144" s="38"/>
      <c r="D144" s="38"/>
    </row>
    <row r="145" spans="2:4">
      <c r="B145" s="5"/>
      <c r="C145" s="38"/>
      <c r="D145" s="38"/>
    </row>
    <row r="146" spans="2:4">
      <c r="B146" s="5"/>
      <c r="C146" s="38"/>
      <c r="D146" s="38"/>
    </row>
    <row r="147" spans="2:4">
      <c r="B147" s="5"/>
      <c r="C147" s="38"/>
      <c r="D147" s="38"/>
    </row>
    <row r="148" spans="2:4">
      <c r="B148" s="5"/>
      <c r="C148" s="38"/>
      <c r="D148" s="38"/>
    </row>
    <row r="149" spans="2:4">
      <c r="B149" s="5"/>
      <c r="C149" s="38"/>
      <c r="D149" s="38"/>
    </row>
    <row r="150" spans="2:4">
      <c r="B150" s="5"/>
      <c r="C150" s="38"/>
      <c r="D150" s="38"/>
    </row>
    <row r="151" spans="2:4">
      <c r="B151" s="5"/>
      <c r="C151" s="38"/>
      <c r="D151" s="38"/>
    </row>
    <row r="152" spans="2:4">
      <c r="B152" s="5"/>
      <c r="C152" s="38"/>
      <c r="D152" s="38"/>
    </row>
    <row r="153" spans="2:4">
      <c r="B153" s="5"/>
      <c r="C153" s="38"/>
      <c r="D153" s="38"/>
    </row>
    <row r="154" spans="2:4">
      <c r="B154" s="5"/>
      <c r="C154" s="38"/>
      <c r="D154" s="38"/>
    </row>
    <row r="155" spans="2:4">
      <c r="B155" s="5"/>
      <c r="C155" s="38"/>
      <c r="D155" s="38"/>
    </row>
    <row r="156" spans="2:4">
      <c r="B156" s="5"/>
      <c r="C156" s="38"/>
      <c r="D156" s="38"/>
    </row>
    <row r="157" spans="2:4">
      <c r="B157" s="5"/>
      <c r="C157" s="38"/>
      <c r="D157" s="38"/>
    </row>
    <row r="158" spans="2:4">
      <c r="B158" s="5"/>
      <c r="C158" s="38"/>
      <c r="D158" s="38"/>
    </row>
    <row r="159" spans="2:4">
      <c r="B159" s="5"/>
      <c r="C159" s="38"/>
      <c r="D159" s="38"/>
    </row>
    <row r="160" spans="2:4">
      <c r="B160" s="5"/>
      <c r="C160" s="38"/>
      <c r="D160" s="38"/>
    </row>
    <row r="161" spans="2:4">
      <c r="B161" s="5"/>
      <c r="C161" s="38"/>
      <c r="D161" s="38"/>
    </row>
    <row r="162" spans="2:4">
      <c r="B162" s="5"/>
      <c r="C162" s="38"/>
      <c r="D162" s="38"/>
    </row>
    <row r="163" spans="2:4">
      <c r="B163" s="5"/>
      <c r="C163" s="38"/>
      <c r="D163" s="38"/>
    </row>
    <row r="164" spans="2:4">
      <c r="B164" s="5"/>
      <c r="C164" s="38"/>
      <c r="D164" s="38"/>
    </row>
    <row r="165" spans="2:4">
      <c r="B165" s="5"/>
      <c r="C165" s="38"/>
      <c r="D165" s="38"/>
    </row>
    <row r="166" spans="2:4">
      <c r="B166" s="5"/>
      <c r="C166" s="38"/>
      <c r="D166" s="38"/>
    </row>
    <row r="167" spans="2:4">
      <c r="B167" s="5"/>
      <c r="C167" s="38"/>
      <c r="D167" s="38"/>
    </row>
    <row r="168" spans="2:4">
      <c r="B168" s="5"/>
      <c r="C168" s="38"/>
      <c r="D168" s="38"/>
    </row>
    <row r="169" spans="2:4">
      <c r="B169" s="5"/>
      <c r="C169" s="38"/>
      <c r="D169" s="38"/>
    </row>
    <row r="170" spans="2:4">
      <c r="B170" s="5"/>
      <c r="C170" s="38"/>
      <c r="D170" s="38"/>
    </row>
    <row r="171" spans="2:4">
      <c r="B171" s="5"/>
      <c r="C171" s="38"/>
      <c r="D171" s="38"/>
    </row>
    <row r="172" spans="2:4">
      <c r="B172" s="5"/>
      <c r="C172" s="38"/>
      <c r="D172" s="38"/>
    </row>
    <row r="173" spans="2:4">
      <c r="B173" s="5"/>
      <c r="C173" s="38"/>
      <c r="D173" s="38"/>
    </row>
  </sheetData>
  <phoneticPr fontId="7" type="noConversion"/>
  <hyperlinks>
    <hyperlink ref="H64743" r:id="rId1" display="http://vsolj.cetus-net.org/bulletin.html" xr:uid="{00000000-0004-0000-0000-000000000000}"/>
    <hyperlink ref="H64736" r:id="rId2" display="https://www.aavso.org/ejaavso" xr:uid="{00000000-0004-0000-0000-000001000000}"/>
    <hyperlink ref="AP887" r:id="rId3" display="http://cdsbib.u-strasbg.fr/cgi-bin/cdsbib?1990RMxAA..21..381G" xr:uid="{00000000-0004-0000-0000-000002000000}"/>
    <hyperlink ref="AP891" r:id="rId4" display="http://cdsbib.u-strasbg.fr/cgi-bin/cdsbib?1990RMxAA..21..381G" xr:uid="{00000000-0004-0000-0000-000003000000}"/>
    <hyperlink ref="AP890" r:id="rId5" display="http://cdsbib.u-strasbg.fr/cgi-bin/cdsbib?1990RMxAA..21..381G" xr:uid="{00000000-0004-0000-0000-000004000000}"/>
    <hyperlink ref="AP871" r:id="rId6" display="http://cdsbib.u-strasbg.fr/cgi-bin/cdsbib?1990RMxAA..21..381G" xr:uid="{00000000-0004-0000-0000-000005000000}"/>
    <hyperlink ref="I64743" r:id="rId7" display="http://vsolj.cetus-net.org/bulletin.html" xr:uid="{00000000-0004-0000-0000-000006000000}"/>
    <hyperlink ref="AQ1027" r:id="rId8" display="http://cdsbib.u-strasbg.fr/cgi-bin/cdsbib?1990RMxAA..21..381G" xr:uid="{00000000-0004-0000-0000-000007000000}"/>
    <hyperlink ref="AQ55793" r:id="rId9" display="http://cdsbib.u-strasbg.fr/cgi-bin/cdsbib?1990RMxAA..21..381G" xr:uid="{00000000-0004-0000-0000-000008000000}"/>
    <hyperlink ref="AQ1028" r:id="rId10" display="http://cdsbib.u-strasbg.fr/cgi-bin/cdsbib?1990RMxAA..21..381G" xr:uid="{00000000-0004-0000-0000-000009000000}"/>
    <hyperlink ref="H64740" r:id="rId11" display="https://www.aavso.org/ejaavso" xr:uid="{00000000-0004-0000-0000-00000A000000}"/>
    <hyperlink ref="H1913" r:id="rId12" display="http://vsolj.cetus-net.org/bulletin.html" xr:uid="{00000000-0004-0000-0000-00000B000000}"/>
    <hyperlink ref="AP3157" r:id="rId13" display="http://cdsbib.u-strasbg.fr/cgi-bin/cdsbib?1990RMxAA..21..381G" xr:uid="{00000000-0004-0000-0000-00000C000000}"/>
    <hyperlink ref="AP3160" r:id="rId14" display="http://cdsbib.u-strasbg.fr/cgi-bin/cdsbib?1990RMxAA..21..381G" xr:uid="{00000000-0004-0000-0000-00000D000000}"/>
    <hyperlink ref="AP3158" r:id="rId15" display="http://cdsbib.u-strasbg.fr/cgi-bin/cdsbib?1990RMxAA..21..381G" xr:uid="{00000000-0004-0000-0000-00000E000000}"/>
    <hyperlink ref="AP3142" r:id="rId16" display="http://cdsbib.u-strasbg.fr/cgi-bin/cdsbib?1990RMxAA..21..381G" xr:uid="{00000000-0004-0000-0000-00000F000000}"/>
    <hyperlink ref="I1913" r:id="rId17" display="http://vsolj.cetus-net.org/bulletin.html" xr:uid="{00000000-0004-0000-0000-000010000000}"/>
    <hyperlink ref="AQ3371" r:id="rId18" display="http://cdsbib.u-strasbg.fr/cgi-bin/cdsbib?1990RMxAA..21..381G" xr:uid="{00000000-0004-0000-0000-000011000000}"/>
    <hyperlink ref="AQ72" r:id="rId19" display="http://cdsbib.u-strasbg.fr/cgi-bin/cdsbib?1990RMxAA..21..381G" xr:uid="{00000000-0004-0000-0000-000012000000}"/>
    <hyperlink ref="AQ3375" r:id="rId20" display="http://cdsbib.u-strasbg.fr/cgi-bin/cdsbib?1990RMxAA..21..381G" xr:uid="{00000000-0004-0000-0000-000013000000}"/>
    <hyperlink ref="H64454" r:id="rId21" display="http://vsolj.cetus-net.org/bulletin.html" xr:uid="{00000000-0004-0000-0000-000014000000}"/>
    <hyperlink ref="H64447" r:id="rId22" display="https://www.aavso.org/ejaavso" xr:uid="{00000000-0004-0000-0000-000015000000}"/>
    <hyperlink ref="I64454" r:id="rId23" display="http://vsolj.cetus-net.org/bulletin.html" xr:uid="{00000000-0004-0000-0000-000016000000}"/>
    <hyperlink ref="AQ58105" r:id="rId24" display="http://cdsbib.u-strasbg.fr/cgi-bin/cdsbib?1990RMxAA..21..381G" xr:uid="{00000000-0004-0000-0000-000017000000}"/>
    <hyperlink ref="H64451" r:id="rId25" display="https://www.aavso.org/ejaavso" xr:uid="{00000000-0004-0000-0000-000018000000}"/>
    <hyperlink ref="AP5469" r:id="rId26" display="http://cdsbib.u-strasbg.fr/cgi-bin/cdsbib?1990RMxAA..21..381G" xr:uid="{00000000-0004-0000-0000-000019000000}"/>
    <hyperlink ref="AP5472" r:id="rId27" display="http://cdsbib.u-strasbg.fr/cgi-bin/cdsbib?1990RMxAA..21..381G" xr:uid="{00000000-0004-0000-0000-00001A000000}"/>
    <hyperlink ref="AP5470" r:id="rId28" display="http://cdsbib.u-strasbg.fr/cgi-bin/cdsbib?1990RMxAA..21..381G" xr:uid="{00000000-0004-0000-0000-00001B000000}"/>
    <hyperlink ref="AP5454" r:id="rId29" display="http://cdsbib.u-strasbg.fr/cgi-bin/cdsbib?1990RMxAA..21..381G" xr:uid="{00000000-0004-0000-0000-00001C000000}"/>
    <hyperlink ref="AQ5683" r:id="rId30" display="http://cdsbib.u-strasbg.fr/cgi-bin/cdsbib?1990RMxAA..21..381G" xr:uid="{00000000-0004-0000-0000-00001D000000}"/>
    <hyperlink ref="AQ5687" r:id="rId31" display="http://cdsbib.u-strasbg.fr/cgi-bin/cdsbib?1990RMxAA..21..381G" xr:uid="{00000000-0004-0000-0000-00001E000000}"/>
    <hyperlink ref="AQ65367" r:id="rId32" display="http://cdsbib.u-strasbg.fr/cgi-bin/cdsbib?1990RMxAA..21..381G" xr:uid="{00000000-0004-0000-0000-00001F000000}"/>
    <hyperlink ref="I2575" r:id="rId33" display="http://vsolj.cetus-net.org/bulletin.html" xr:uid="{00000000-0004-0000-0000-000020000000}"/>
    <hyperlink ref="H2575" r:id="rId34" display="http://vsolj.cetus-net.org/bulletin.html" xr:uid="{00000000-0004-0000-0000-000021000000}"/>
    <hyperlink ref="AQ492" r:id="rId35" display="http://cdsbib.u-strasbg.fr/cgi-bin/cdsbib?1990RMxAA..21..381G" xr:uid="{00000000-0004-0000-0000-000022000000}"/>
    <hyperlink ref="AQ491" r:id="rId36" display="http://cdsbib.u-strasbg.fr/cgi-bin/cdsbib?1990RMxAA..21..381G" xr:uid="{00000000-0004-0000-0000-000023000000}"/>
    <hyperlink ref="AP3745" r:id="rId37" display="http://cdsbib.u-strasbg.fr/cgi-bin/cdsbib?1990RMxAA..21..381G" xr:uid="{00000000-0004-0000-0000-000024000000}"/>
    <hyperlink ref="AP3763" r:id="rId38" display="http://cdsbib.u-strasbg.fr/cgi-bin/cdsbib?1990RMxAA..21..381G" xr:uid="{00000000-0004-0000-0000-000025000000}"/>
    <hyperlink ref="AP3764" r:id="rId39" display="http://cdsbib.u-strasbg.fr/cgi-bin/cdsbib?1990RMxAA..21..381G" xr:uid="{00000000-0004-0000-0000-000026000000}"/>
    <hyperlink ref="AP3760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8"/>
  <sheetViews>
    <sheetView workbookViewId="0">
      <selection activeCell="A32" sqref="A32:D35"/>
    </sheetView>
  </sheetViews>
  <sheetFormatPr defaultRowHeight="12.75"/>
  <cols>
    <col min="1" max="1" width="19.7109375" style="38" customWidth="1"/>
    <col min="2" max="2" width="4.42578125" style="12" customWidth="1"/>
    <col min="3" max="3" width="12.7109375" style="3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4" t="s">
        <v>57</v>
      </c>
      <c r="I1" s="45" t="s">
        <v>58</v>
      </c>
      <c r="J1" s="46" t="s">
        <v>59</v>
      </c>
    </row>
    <row r="2" spans="1:16">
      <c r="I2" s="47" t="s">
        <v>60</v>
      </c>
      <c r="J2" s="48" t="s">
        <v>61</v>
      </c>
    </row>
    <row r="3" spans="1:16">
      <c r="A3" s="49" t="s">
        <v>62</v>
      </c>
      <c r="I3" s="47" t="s">
        <v>63</v>
      </c>
      <c r="J3" s="48" t="s">
        <v>64</v>
      </c>
    </row>
    <row r="4" spans="1:16">
      <c r="I4" s="47" t="s">
        <v>65</v>
      </c>
      <c r="J4" s="48" t="s">
        <v>64</v>
      </c>
    </row>
    <row r="5" spans="1:16" ht="13.5" thickBot="1">
      <c r="I5" s="50" t="s">
        <v>66</v>
      </c>
      <c r="J5" s="51" t="s">
        <v>67</v>
      </c>
    </row>
    <row r="10" spans="1:16" ht="13.5" thickBot="1"/>
    <row r="11" spans="1:16" ht="12.75" customHeight="1" thickBot="1">
      <c r="A11" s="38" t="str">
        <f t="shared" ref="A11:A35" si="0">P11</f>
        <v> BRNO 32 </v>
      </c>
      <c r="B11" s="5" t="str">
        <f t="shared" ref="B11:B35" si="1">IF(H11=INT(H11),"I","II")</f>
        <v>I</v>
      </c>
      <c r="C11" s="38">
        <f t="shared" ref="C11:C35" si="2">1*G11</f>
        <v>51555.6558</v>
      </c>
      <c r="D11" s="12" t="str">
        <f t="shared" ref="D11:D35" si="3">VLOOKUP(F11,I$1:J$5,2,FALSE)</f>
        <v>vis</v>
      </c>
      <c r="E11" s="52">
        <f>VLOOKUP(C11,Active!C$21:E$970,3,FALSE)</f>
        <v>26636.097148389828</v>
      </c>
      <c r="F11" s="5" t="s">
        <v>66</v>
      </c>
      <c r="G11" s="12" t="str">
        <f t="shared" ref="G11:G35" si="4">MID(I11,3,LEN(I11)-3)</f>
        <v>51555.6558</v>
      </c>
      <c r="H11" s="38">
        <f t="shared" ref="H11:H35" si="5">1*K11</f>
        <v>-18133</v>
      </c>
      <c r="I11" s="53" t="s">
        <v>68</v>
      </c>
      <c r="J11" s="54" t="s">
        <v>69</v>
      </c>
      <c r="K11" s="53">
        <v>-18133</v>
      </c>
      <c r="L11" s="53" t="s">
        <v>70</v>
      </c>
      <c r="M11" s="54" t="s">
        <v>71</v>
      </c>
      <c r="N11" s="54" t="s">
        <v>72</v>
      </c>
      <c r="O11" s="55" t="s">
        <v>73</v>
      </c>
      <c r="P11" s="55" t="s">
        <v>74</v>
      </c>
    </row>
    <row r="12" spans="1:16" ht="12.75" customHeight="1" thickBot="1">
      <c r="A12" s="38" t="str">
        <f t="shared" si="0"/>
        <v> BRNO 32 </v>
      </c>
      <c r="B12" s="5" t="str">
        <f t="shared" si="1"/>
        <v>I</v>
      </c>
      <c r="C12" s="38">
        <f t="shared" si="2"/>
        <v>51596.630299999997</v>
      </c>
      <c r="D12" s="12" t="str">
        <f t="shared" si="3"/>
        <v>vis</v>
      </c>
      <c r="E12" s="52">
        <f>VLOOKUP(C12,Active!C$21:E$970,3,FALSE)</f>
        <v>26788.098320640129</v>
      </c>
      <c r="F12" s="5" t="s">
        <v>66</v>
      </c>
      <c r="G12" s="12" t="str">
        <f t="shared" si="4"/>
        <v>51596.6303</v>
      </c>
      <c r="H12" s="38">
        <f t="shared" si="5"/>
        <v>-17981</v>
      </c>
      <c r="I12" s="53" t="s">
        <v>75</v>
      </c>
      <c r="J12" s="54" t="s">
        <v>76</v>
      </c>
      <c r="K12" s="53">
        <v>-17981</v>
      </c>
      <c r="L12" s="53" t="s">
        <v>77</v>
      </c>
      <c r="M12" s="54" t="s">
        <v>71</v>
      </c>
      <c r="N12" s="54" t="s">
        <v>72</v>
      </c>
      <c r="O12" s="55" t="s">
        <v>73</v>
      </c>
      <c r="P12" s="55" t="s">
        <v>74</v>
      </c>
    </row>
    <row r="13" spans="1:16" ht="12.75" customHeight="1" thickBot="1">
      <c r="A13" s="38" t="str">
        <f t="shared" si="0"/>
        <v> BRNO 32 </v>
      </c>
      <c r="B13" s="5" t="str">
        <f t="shared" si="1"/>
        <v>I</v>
      </c>
      <c r="C13" s="38">
        <f t="shared" si="2"/>
        <v>51626.550600000002</v>
      </c>
      <c r="D13" s="12" t="str">
        <f t="shared" si="3"/>
        <v>vis</v>
      </c>
      <c r="E13" s="52">
        <f>VLOOKUP(C13,Active!C$21:E$970,3,FALSE)</f>
        <v>26899.09224793837</v>
      </c>
      <c r="F13" s="5" t="s">
        <v>66</v>
      </c>
      <c r="G13" s="12" t="str">
        <f t="shared" si="4"/>
        <v>51626.5506</v>
      </c>
      <c r="H13" s="38">
        <f t="shared" si="5"/>
        <v>-17870</v>
      </c>
      <c r="I13" s="53" t="s">
        <v>78</v>
      </c>
      <c r="J13" s="54" t="s">
        <v>79</v>
      </c>
      <c r="K13" s="53">
        <v>-17870</v>
      </c>
      <c r="L13" s="53" t="s">
        <v>80</v>
      </c>
      <c r="M13" s="54" t="s">
        <v>71</v>
      </c>
      <c r="N13" s="54" t="s">
        <v>72</v>
      </c>
      <c r="O13" s="55" t="s">
        <v>81</v>
      </c>
      <c r="P13" s="55" t="s">
        <v>74</v>
      </c>
    </row>
    <row r="14" spans="1:16" ht="12.75" customHeight="1" thickBot="1">
      <c r="A14" s="38" t="str">
        <f t="shared" si="0"/>
        <v>OEJV 0074 </v>
      </c>
      <c r="B14" s="5" t="str">
        <f t="shared" si="1"/>
        <v>I</v>
      </c>
      <c r="C14" s="38">
        <f t="shared" si="2"/>
        <v>51652.431100000002</v>
      </c>
      <c r="D14" s="12" t="str">
        <f t="shared" si="3"/>
        <v>vis</v>
      </c>
      <c r="E14" s="52">
        <f>VLOOKUP(C14,Active!C$21:E$970,3,FALSE)</f>
        <v>26995.099919500542</v>
      </c>
      <c r="F14" s="5" t="s">
        <v>66</v>
      </c>
      <c r="G14" s="12" t="str">
        <f t="shared" si="4"/>
        <v>51652.43110</v>
      </c>
      <c r="H14" s="38">
        <f t="shared" si="5"/>
        <v>-17774</v>
      </c>
      <c r="I14" s="53" t="s">
        <v>82</v>
      </c>
      <c r="J14" s="54" t="s">
        <v>83</v>
      </c>
      <c r="K14" s="53">
        <v>-17774</v>
      </c>
      <c r="L14" s="53" t="s">
        <v>84</v>
      </c>
      <c r="M14" s="54" t="s">
        <v>85</v>
      </c>
      <c r="N14" s="54" t="s">
        <v>86</v>
      </c>
      <c r="O14" s="55" t="s">
        <v>87</v>
      </c>
      <c r="P14" s="56" t="s">
        <v>88</v>
      </c>
    </row>
    <row r="15" spans="1:16" ht="12.75" customHeight="1" thickBot="1">
      <c r="A15" s="38" t="str">
        <f t="shared" si="0"/>
        <v>OEJV 0074 </v>
      </c>
      <c r="B15" s="5" t="str">
        <f t="shared" si="1"/>
        <v>II</v>
      </c>
      <c r="C15" s="38">
        <f t="shared" si="2"/>
        <v>51923.482329999999</v>
      </c>
      <c r="D15" s="12" t="str">
        <f t="shared" si="3"/>
        <v>vis</v>
      </c>
      <c r="E15" s="52">
        <f>VLOOKUP(C15,Active!C$21:E$970,3,FALSE)</f>
        <v>28000.605897606158</v>
      </c>
      <c r="F15" s="5" t="s">
        <v>66</v>
      </c>
      <c r="G15" s="12" t="str">
        <f t="shared" si="4"/>
        <v>51923.48233</v>
      </c>
      <c r="H15" s="38">
        <f t="shared" si="5"/>
        <v>-16768.5</v>
      </c>
      <c r="I15" s="53" t="s">
        <v>89</v>
      </c>
      <c r="J15" s="54" t="s">
        <v>90</v>
      </c>
      <c r="K15" s="53">
        <v>-16768.5</v>
      </c>
      <c r="L15" s="53" t="s">
        <v>91</v>
      </c>
      <c r="M15" s="54" t="s">
        <v>85</v>
      </c>
      <c r="N15" s="54" t="s">
        <v>86</v>
      </c>
      <c r="O15" s="55" t="s">
        <v>87</v>
      </c>
      <c r="P15" s="56" t="s">
        <v>88</v>
      </c>
    </row>
    <row r="16" spans="1:16" ht="12.75" customHeight="1" thickBot="1">
      <c r="A16" s="38" t="str">
        <f t="shared" si="0"/>
        <v>OEJV 0074 </v>
      </c>
      <c r="B16" s="5" t="str">
        <f t="shared" si="1"/>
        <v>I</v>
      </c>
      <c r="C16" s="38">
        <f t="shared" si="2"/>
        <v>51923.615109999999</v>
      </c>
      <c r="D16" s="12" t="str">
        <f t="shared" si="3"/>
        <v>vis</v>
      </c>
      <c r="E16" s="52">
        <f>VLOOKUP(C16,Active!C$21:E$970,3,FALSE)</f>
        <v>28001.098465316598</v>
      </c>
      <c r="F16" s="5" t="s">
        <v>66</v>
      </c>
      <c r="G16" s="12" t="str">
        <f t="shared" si="4"/>
        <v>51923.61511</v>
      </c>
      <c r="H16" s="38">
        <f t="shared" si="5"/>
        <v>-16768</v>
      </c>
      <c r="I16" s="53" t="s">
        <v>92</v>
      </c>
      <c r="J16" s="54" t="s">
        <v>93</v>
      </c>
      <c r="K16" s="53">
        <v>-16768</v>
      </c>
      <c r="L16" s="53" t="s">
        <v>94</v>
      </c>
      <c r="M16" s="54" t="s">
        <v>85</v>
      </c>
      <c r="N16" s="54" t="s">
        <v>86</v>
      </c>
      <c r="O16" s="55" t="s">
        <v>87</v>
      </c>
      <c r="P16" s="56" t="s">
        <v>88</v>
      </c>
    </row>
    <row r="17" spans="1:16" ht="12.75" customHeight="1" thickBot="1">
      <c r="A17" s="38" t="str">
        <f t="shared" si="0"/>
        <v>OEJV 0074 </v>
      </c>
      <c r="B17" s="5" t="str">
        <f t="shared" si="1"/>
        <v>I</v>
      </c>
      <c r="C17" s="38">
        <f t="shared" si="2"/>
        <v>51924.69569</v>
      </c>
      <c r="D17" s="12" t="str">
        <f t="shared" si="3"/>
        <v>vis</v>
      </c>
      <c r="E17" s="52">
        <f>VLOOKUP(C17,Active!C$21:E$970,3,FALSE)</f>
        <v>28005.10704203408</v>
      </c>
      <c r="F17" s="5" t="s">
        <v>66</v>
      </c>
      <c r="G17" s="12" t="str">
        <f t="shared" si="4"/>
        <v>51924.69569</v>
      </c>
      <c r="H17" s="38">
        <f t="shared" si="5"/>
        <v>-16764</v>
      </c>
      <c r="I17" s="53" t="s">
        <v>95</v>
      </c>
      <c r="J17" s="54" t="s">
        <v>96</v>
      </c>
      <c r="K17" s="53">
        <v>-16764</v>
      </c>
      <c r="L17" s="53" t="s">
        <v>97</v>
      </c>
      <c r="M17" s="54" t="s">
        <v>85</v>
      </c>
      <c r="N17" s="54" t="s">
        <v>86</v>
      </c>
      <c r="O17" s="55" t="s">
        <v>87</v>
      </c>
      <c r="P17" s="56" t="s">
        <v>88</v>
      </c>
    </row>
    <row r="18" spans="1:16" ht="12.75" customHeight="1" thickBot="1">
      <c r="A18" s="38" t="str">
        <f t="shared" si="0"/>
        <v>BAVM 152 </v>
      </c>
      <c r="B18" s="5" t="str">
        <f t="shared" si="1"/>
        <v>I</v>
      </c>
      <c r="C18" s="38">
        <f t="shared" si="2"/>
        <v>52344.409899999999</v>
      </c>
      <c r="D18" s="12" t="str">
        <f t="shared" si="3"/>
        <v>vis</v>
      </c>
      <c r="E18" s="52">
        <f>VLOOKUP(C18,Active!C$21:E$970,3,FALSE)</f>
        <v>29562.101073202579</v>
      </c>
      <c r="F18" s="5" t="s">
        <v>66</v>
      </c>
      <c r="G18" s="12" t="str">
        <f t="shared" si="4"/>
        <v>52344.4099</v>
      </c>
      <c r="H18" s="38">
        <f t="shared" si="5"/>
        <v>-15207</v>
      </c>
      <c r="I18" s="53" t="s">
        <v>98</v>
      </c>
      <c r="J18" s="54" t="s">
        <v>99</v>
      </c>
      <c r="K18" s="53">
        <v>-15207</v>
      </c>
      <c r="L18" s="53" t="s">
        <v>100</v>
      </c>
      <c r="M18" s="54" t="s">
        <v>71</v>
      </c>
      <c r="N18" s="54" t="s">
        <v>101</v>
      </c>
      <c r="O18" s="55" t="s">
        <v>102</v>
      </c>
      <c r="P18" s="56" t="s">
        <v>103</v>
      </c>
    </row>
    <row r="19" spans="1:16" ht="12.75" customHeight="1" thickBot="1">
      <c r="A19" s="38" t="str">
        <f t="shared" si="0"/>
        <v>BAVM 152 </v>
      </c>
      <c r="B19" s="5" t="str">
        <f t="shared" si="1"/>
        <v>II</v>
      </c>
      <c r="C19" s="38">
        <f t="shared" si="2"/>
        <v>52344.5458</v>
      </c>
      <c r="D19" s="12" t="str">
        <f t="shared" si="3"/>
        <v>vis</v>
      </c>
      <c r="E19" s="52">
        <f>VLOOKUP(C19,Active!C$21:E$970,3,FALSE)</f>
        <v>29562.605215030031</v>
      </c>
      <c r="F19" s="5" t="s">
        <v>66</v>
      </c>
      <c r="G19" s="12" t="str">
        <f t="shared" si="4"/>
        <v>52344.5458</v>
      </c>
      <c r="H19" s="38">
        <f t="shared" si="5"/>
        <v>-15206.5</v>
      </c>
      <c r="I19" s="53" t="s">
        <v>104</v>
      </c>
      <c r="J19" s="54" t="s">
        <v>105</v>
      </c>
      <c r="K19" s="53" t="s">
        <v>106</v>
      </c>
      <c r="L19" s="53" t="s">
        <v>107</v>
      </c>
      <c r="M19" s="54" t="s">
        <v>71</v>
      </c>
      <c r="N19" s="54" t="s">
        <v>101</v>
      </c>
      <c r="O19" s="55" t="s">
        <v>102</v>
      </c>
      <c r="P19" s="56" t="s">
        <v>103</v>
      </c>
    </row>
    <row r="20" spans="1:16" ht="12.75" customHeight="1" thickBot="1">
      <c r="A20" s="38" t="str">
        <f t="shared" si="0"/>
        <v>BAVM 158 </v>
      </c>
      <c r="B20" s="5" t="str">
        <f t="shared" si="1"/>
        <v>II</v>
      </c>
      <c r="C20" s="38">
        <f t="shared" si="2"/>
        <v>52373.3897</v>
      </c>
      <c r="D20" s="12" t="str">
        <f t="shared" si="3"/>
        <v>vis</v>
      </c>
      <c r="E20" s="52">
        <f>VLOOKUP(C20,Active!C$21:E$970,3,FALSE)</f>
        <v>29669.60607195985</v>
      </c>
      <c r="F20" s="5" t="s">
        <v>66</v>
      </c>
      <c r="G20" s="12" t="str">
        <f t="shared" si="4"/>
        <v>52373.3897</v>
      </c>
      <c r="H20" s="38">
        <f t="shared" si="5"/>
        <v>-15099.5</v>
      </c>
      <c r="I20" s="53" t="s">
        <v>108</v>
      </c>
      <c r="J20" s="54" t="s">
        <v>109</v>
      </c>
      <c r="K20" s="53" t="s">
        <v>110</v>
      </c>
      <c r="L20" s="53" t="s">
        <v>111</v>
      </c>
      <c r="M20" s="54" t="s">
        <v>71</v>
      </c>
      <c r="N20" s="54" t="s">
        <v>86</v>
      </c>
      <c r="O20" s="55" t="s">
        <v>102</v>
      </c>
      <c r="P20" s="56" t="s">
        <v>112</v>
      </c>
    </row>
    <row r="21" spans="1:16" ht="12.75" customHeight="1" thickBot="1">
      <c r="A21" s="38" t="str">
        <f t="shared" si="0"/>
        <v>BAVM 158 </v>
      </c>
      <c r="B21" s="5" t="str">
        <f t="shared" si="1"/>
        <v>I</v>
      </c>
      <c r="C21" s="38">
        <f t="shared" si="2"/>
        <v>52373.524799999999</v>
      </c>
      <c r="D21" s="12" t="str">
        <f t="shared" si="3"/>
        <v>vis</v>
      </c>
      <c r="E21" s="52">
        <f>VLOOKUP(C21,Active!C$21:E$970,3,FALSE)</f>
        <v>29670.107246064985</v>
      </c>
      <c r="F21" s="5" t="s">
        <v>66</v>
      </c>
      <c r="G21" s="12" t="str">
        <f t="shared" si="4"/>
        <v>52373.5248</v>
      </c>
      <c r="H21" s="38">
        <f t="shared" si="5"/>
        <v>-15099</v>
      </c>
      <c r="I21" s="53" t="s">
        <v>113</v>
      </c>
      <c r="J21" s="54" t="s">
        <v>114</v>
      </c>
      <c r="K21" s="53" t="s">
        <v>115</v>
      </c>
      <c r="L21" s="53" t="s">
        <v>116</v>
      </c>
      <c r="M21" s="54" t="s">
        <v>71</v>
      </c>
      <c r="N21" s="54" t="s">
        <v>86</v>
      </c>
      <c r="O21" s="55" t="s">
        <v>102</v>
      </c>
      <c r="P21" s="56" t="s">
        <v>112</v>
      </c>
    </row>
    <row r="22" spans="1:16" ht="12.75" customHeight="1" thickBot="1">
      <c r="A22" s="38" t="str">
        <f t="shared" si="0"/>
        <v>BAVM 158 </v>
      </c>
      <c r="B22" s="5" t="str">
        <f t="shared" si="1"/>
        <v>II</v>
      </c>
      <c r="C22" s="38">
        <f t="shared" si="2"/>
        <v>52715.469899999996</v>
      </c>
      <c r="D22" s="12" t="str">
        <f t="shared" si="3"/>
        <v>vis</v>
      </c>
      <c r="E22" s="52">
        <f>VLOOKUP(C22,Active!C$21:E$970,3,FALSE)</f>
        <v>30938.604873741951</v>
      </c>
      <c r="F22" s="5" t="s">
        <v>66</v>
      </c>
      <c r="G22" s="12" t="str">
        <f t="shared" si="4"/>
        <v>52715.4699</v>
      </c>
      <c r="H22" s="38">
        <f t="shared" si="5"/>
        <v>-13830.5</v>
      </c>
      <c r="I22" s="53" t="s">
        <v>117</v>
      </c>
      <c r="J22" s="54" t="s">
        <v>118</v>
      </c>
      <c r="K22" s="53" t="s">
        <v>119</v>
      </c>
      <c r="L22" s="53" t="s">
        <v>107</v>
      </c>
      <c r="M22" s="54" t="s">
        <v>71</v>
      </c>
      <c r="N22" s="54" t="s">
        <v>86</v>
      </c>
      <c r="O22" s="55" t="s">
        <v>102</v>
      </c>
      <c r="P22" s="56" t="s">
        <v>112</v>
      </c>
    </row>
    <row r="23" spans="1:16" ht="12.75" customHeight="1" thickBot="1">
      <c r="A23" s="38" t="str">
        <f t="shared" si="0"/>
        <v>IBVS 5676 </v>
      </c>
      <c r="B23" s="5" t="str">
        <f t="shared" si="1"/>
        <v>I</v>
      </c>
      <c r="C23" s="38">
        <f t="shared" si="2"/>
        <v>52789.465799999998</v>
      </c>
      <c r="D23" s="12" t="str">
        <f t="shared" si="3"/>
        <v>vis</v>
      </c>
      <c r="E23" s="52">
        <f>VLOOKUP(C23,Active!C$21:E$970,3,FALSE)</f>
        <v>31213.103977860788</v>
      </c>
      <c r="F23" s="5" t="s">
        <v>66</v>
      </c>
      <c r="G23" s="12" t="str">
        <f t="shared" si="4"/>
        <v>52789.4658</v>
      </c>
      <c r="H23" s="38">
        <f t="shared" si="5"/>
        <v>-13556</v>
      </c>
      <c r="I23" s="53" t="s">
        <v>120</v>
      </c>
      <c r="J23" s="54" t="s">
        <v>121</v>
      </c>
      <c r="K23" s="53" t="s">
        <v>122</v>
      </c>
      <c r="L23" s="53" t="s">
        <v>123</v>
      </c>
      <c r="M23" s="54" t="s">
        <v>71</v>
      </c>
      <c r="N23" s="54" t="s">
        <v>72</v>
      </c>
      <c r="O23" s="55" t="s">
        <v>124</v>
      </c>
      <c r="P23" s="56" t="s">
        <v>125</v>
      </c>
    </row>
    <row r="24" spans="1:16" ht="12.75" customHeight="1" thickBot="1">
      <c r="A24" s="38" t="str">
        <f t="shared" si="0"/>
        <v>IBVS 5676 </v>
      </c>
      <c r="B24" s="5" t="str">
        <f t="shared" si="1"/>
        <v>I</v>
      </c>
      <c r="C24" s="38">
        <f t="shared" si="2"/>
        <v>52863.326999999997</v>
      </c>
      <c r="D24" s="12" t="str">
        <f t="shared" si="3"/>
        <v>vis</v>
      </c>
      <c r="E24" s="52">
        <f>VLOOKUP(C24,Active!C$21:E$970,3,FALSE)</f>
        <v>31487.103391735629</v>
      </c>
      <c r="F24" s="5" t="s">
        <v>66</v>
      </c>
      <c r="G24" s="12" t="str">
        <f t="shared" si="4"/>
        <v>52863.3270</v>
      </c>
      <c r="H24" s="38">
        <f t="shared" si="5"/>
        <v>-13282</v>
      </c>
      <c r="I24" s="53" t="s">
        <v>126</v>
      </c>
      <c r="J24" s="54" t="s">
        <v>127</v>
      </c>
      <c r="K24" s="53" t="s">
        <v>128</v>
      </c>
      <c r="L24" s="53" t="s">
        <v>129</v>
      </c>
      <c r="M24" s="54" t="s">
        <v>71</v>
      </c>
      <c r="N24" s="54" t="s">
        <v>72</v>
      </c>
      <c r="O24" s="55" t="s">
        <v>124</v>
      </c>
      <c r="P24" s="56" t="s">
        <v>125</v>
      </c>
    </row>
    <row r="25" spans="1:16" ht="12.75" customHeight="1" thickBot="1">
      <c r="A25" s="38" t="str">
        <f t="shared" si="0"/>
        <v>IBVS 5592 </v>
      </c>
      <c r="B25" s="5" t="str">
        <f t="shared" si="1"/>
        <v>I</v>
      </c>
      <c r="C25" s="38">
        <f t="shared" si="2"/>
        <v>53148.259400000003</v>
      </c>
      <c r="D25" s="12" t="str">
        <f t="shared" si="3"/>
        <v>vis</v>
      </c>
      <c r="E25" s="52">
        <f>VLOOKUP(C25,Active!C$21:E$970,3,FALSE)</f>
        <v>32544.10369221753</v>
      </c>
      <c r="F25" s="5" t="s">
        <v>66</v>
      </c>
      <c r="G25" s="12" t="str">
        <f t="shared" si="4"/>
        <v>53148.2594</v>
      </c>
      <c r="H25" s="38">
        <f t="shared" si="5"/>
        <v>-12225</v>
      </c>
      <c r="I25" s="53" t="s">
        <v>130</v>
      </c>
      <c r="J25" s="54" t="s">
        <v>131</v>
      </c>
      <c r="K25" s="53" t="s">
        <v>132</v>
      </c>
      <c r="L25" s="53" t="s">
        <v>133</v>
      </c>
      <c r="M25" s="54" t="s">
        <v>71</v>
      </c>
      <c r="N25" s="54" t="s">
        <v>72</v>
      </c>
      <c r="O25" s="55" t="s">
        <v>134</v>
      </c>
      <c r="P25" s="56" t="s">
        <v>135</v>
      </c>
    </row>
    <row r="26" spans="1:16" ht="12.75" customHeight="1" thickBot="1">
      <c r="A26" s="38" t="str">
        <f t="shared" si="0"/>
        <v>BAVM 178 </v>
      </c>
      <c r="B26" s="5" t="str">
        <f t="shared" si="1"/>
        <v>II</v>
      </c>
      <c r="C26" s="38">
        <f t="shared" si="2"/>
        <v>53534.413099999998</v>
      </c>
      <c r="D26" s="12" t="str">
        <f t="shared" si="3"/>
        <v>vis</v>
      </c>
      <c r="E26" s="52">
        <f>VLOOKUP(C26,Active!C$21:E$970,3,FALSE)</f>
        <v>33976.599880549169</v>
      </c>
      <c r="F26" s="5" t="s">
        <v>66</v>
      </c>
      <c r="G26" s="12" t="str">
        <f t="shared" si="4"/>
        <v>53534.4131</v>
      </c>
      <c r="H26" s="38">
        <f t="shared" si="5"/>
        <v>-10792.5</v>
      </c>
      <c r="I26" s="53" t="s">
        <v>136</v>
      </c>
      <c r="J26" s="54" t="s">
        <v>137</v>
      </c>
      <c r="K26" s="53" t="s">
        <v>138</v>
      </c>
      <c r="L26" s="53" t="s">
        <v>139</v>
      </c>
      <c r="M26" s="54" t="s">
        <v>85</v>
      </c>
      <c r="N26" s="54" t="s">
        <v>86</v>
      </c>
      <c r="O26" s="55" t="s">
        <v>140</v>
      </c>
      <c r="P26" s="56" t="s">
        <v>141</v>
      </c>
    </row>
    <row r="27" spans="1:16" ht="12.75" customHeight="1" thickBot="1">
      <c r="A27" s="38" t="str">
        <f t="shared" si="0"/>
        <v>OEJV 0074 </v>
      </c>
      <c r="B27" s="5" t="str">
        <f t="shared" si="1"/>
        <v>I</v>
      </c>
      <c r="C27" s="38">
        <f t="shared" si="2"/>
        <v>54172.614580000001</v>
      </c>
      <c r="D27" s="12" t="str">
        <f t="shared" si="3"/>
        <v>vis</v>
      </c>
      <c r="E27" s="52">
        <f>VLOOKUP(C27,Active!C$21:E$970,3,FALSE)</f>
        <v>36344.1058438162</v>
      </c>
      <c r="F27" s="5" t="s">
        <v>66</v>
      </c>
      <c r="G27" s="12" t="str">
        <f t="shared" si="4"/>
        <v>54172.61458</v>
      </c>
      <c r="H27" s="38">
        <f t="shared" si="5"/>
        <v>-8425</v>
      </c>
      <c r="I27" s="53" t="s">
        <v>142</v>
      </c>
      <c r="J27" s="54" t="s">
        <v>143</v>
      </c>
      <c r="K27" s="53" t="s">
        <v>144</v>
      </c>
      <c r="L27" s="53" t="s">
        <v>145</v>
      </c>
      <c r="M27" s="54" t="s">
        <v>85</v>
      </c>
      <c r="N27" s="54" t="s">
        <v>146</v>
      </c>
      <c r="O27" s="55" t="s">
        <v>147</v>
      </c>
      <c r="P27" s="56" t="s">
        <v>88</v>
      </c>
    </row>
    <row r="28" spans="1:16" ht="12.75" customHeight="1" thickBot="1">
      <c r="A28" s="38" t="str">
        <f t="shared" si="0"/>
        <v>IBVS 5894 </v>
      </c>
      <c r="B28" s="5" t="str">
        <f t="shared" si="1"/>
        <v>II</v>
      </c>
      <c r="C28" s="38">
        <f t="shared" si="2"/>
        <v>54950.720300000001</v>
      </c>
      <c r="D28" s="12" t="str">
        <f t="shared" si="3"/>
        <v>vis</v>
      </c>
      <c r="E28" s="52">
        <f>VLOOKUP(C28,Active!C$21:E$970,3,FALSE)</f>
        <v>39230.607975011786</v>
      </c>
      <c r="F28" s="5" t="s">
        <v>66</v>
      </c>
      <c r="G28" s="12" t="str">
        <f t="shared" si="4"/>
        <v>54950.7203</v>
      </c>
      <c r="H28" s="38">
        <f t="shared" si="5"/>
        <v>-5538.5</v>
      </c>
      <c r="I28" s="53" t="s">
        <v>148</v>
      </c>
      <c r="J28" s="54" t="s">
        <v>149</v>
      </c>
      <c r="K28" s="53" t="s">
        <v>150</v>
      </c>
      <c r="L28" s="53" t="s">
        <v>151</v>
      </c>
      <c r="M28" s="54" t="s">
        <v>85</v>
      </c>
      <c r="N28" s="54" t="s">
        <v>66</v>
      </c>
      <c r="O28" s="55" t="s">
        <v>152</v>
      </c>
      <c r="P28" s="56" t="s">
        <v>153</v>
      </c>
    </row>
    <row r="29" spans="1:16" ht="12.75" customHeight="1" thickBot="1">
      <c r="A29" s="38" t="str">
        <f t="shared" si="0"/>
        <v>IBVS 5894 </v>
      </c>
      <c r="B29" s="5" t="str">
        <f t="shared" si="1"/>
        <v>I</v>
      </c>
      <c r="C29" s="38">
        <f t="shared" si="2"/>
        <v>54950.853999999999</v>
      </c>
      <c r="D29" s="12" t="str">
        <f t="shared" si="3"/>
        <v>vis</v>
      </c>
      <c r="E29" s="52">
        <f>VLOOKUP(C29,Active!C$21:E$970,3,FALSE)</f>
        <v>39231.103955602877</v>
      </c>
      <c r="F29" s="5" t="s">
        <v>66</v>
      </c>
      <c r="G29" s="12" t="str">
        <f t="shared" si="4"/>
        <v>54950.854</v>
      </c>
      <c r="H29" s="38">
        <f t="shared" si="5"/>
        <v>-5538</v>
      </c>
      <c r="I29" s="53" t="s">
        <v>154</v>
      </c>
      <c r="J29" s="54" t="s">
        <v>155</v>
      </c>
      <c r="K29" s="53" t="s">
        <v>156</v>
      </c>
      <c r="L29" s="53" t="s">
        <v>157</v>
      </c>
      <c r="M29" s="54" t="s">
        <v>85</v>
      </c>
      <c r="N29" s="54" t="s">
        <v>66</v>
      </c>
      <c r="O29" s="55" t="s">
        <v>152</v>
      </c>
      <c r="P29" s="56" t="s">
        <v>153</v>
      </c>
    </row>
    <row r="30" spans="1:16" ht="12.75" customHeight="1" thickBot="1">
      <c r="A30" s="38" t="str">
        <f t="shared" si="0"/>
        <v>IBVS 5992 </v>
      </c>
      <c r="B30" s="5" t="str">
        <f t="shared" si="1"/>
        <v>I</v>
      </c>
      <c r="C30" s="38">
        <f t="shared" si="2"/>
        <v>55629.893100000001</v>
      </c>
      <c r="D30" s="12" t="str">
        <f t="shared" si="3"/>
        <v>vis</v>
      </c>
      <c r="E30" s="52">
        <f>VLOOKUP(C30,Active!C$21:E$970,3,FALSE)</f>
        <v>41750.103313832929</v>
      </c>
      <c r="F30" s="5" t="s">
        <v>66</v>
      </c>
      <c r="G30" s="12" t="str">
        <f t="shared" si="4"/>
        <v>55629.8931</v>
      </c>
      <c r="H30" s="38">
        <f t="shared" si="5"/>
        <v>-3019</v>
      </c>
      <c r="I30" s="53" t="s">
        <v>158</v>
      </c>
      <c r="J30" s="54" t="s">
        <v>159</v>
      </c>
      <c r="K30" s="53" t="s">
        <v>160</v>
      </c>
      <c r="L30" s="53" t="s">
        <v>161</v>
      </c>
      <c r="M30" s="54" t="s">
        <v>85</v>
      </c>
      <c r="N30" s="54" t="s">
        <v>66</v>
      </c>
      <c r="O30" s="55" t="s">
        <v>152</v>
      </c>
      <c r="P30" s="56" t="s">
        <v>162</v>
      </c>
    </row>
    <row r="31" spans="1:16" ht="12.75" customHeight="1" thickBot="1">
      <c r="A31" s="38" t="str">
        <f t="shared" si="0"/>
        <v>IBVS 6029 </v>
      </c>
      <c r="B31" s="5" t="str">
        <f t="shared" si="1"/>
        <v>I</v>
      </c>
      <c r="C31" s="38">
        <f t="shared" si="2"/>
        <v>56001.895499999999</v>
      </c>
      <c r="D31" s="12" t="str">
        <f t="shared" si="3"/>
        <v>vis</v>
      </c>
      <c r="E31" s="52">
        <f>VLOOKUP(C31,Active!C$21:E$970,3,FALSE)</f>
        <v>43130.103091253746</v>
      </c>
      <c r="F31" s="5" t="s">
        <v>66</v>
      </c>
      <c r="G31" s="12" t="str">
        <f t="shared" si="4"/>
        <v>56001.8955</v>
      </c>
      <c r="H31" s="38">
        <f t="shared" si="5"/>
        <v>-1639</v>
      </c>
      <c r="I31" s="53" t="s">
        <v>163</v>
      </c>
      <c r="J31" s="54" t="s">
        <v>164</v>
      </c>
      <c r="K31" s="53" t="s">
        <v>165</v>
      </c>
      <c r="L31" s="53" t="s">
        <v>161</v>
      </c>
      <c r="M31" s="54" t="s">
        <v>85</v>
      </c>
      <c r="N31" s="54" t="s">
        <v>66</v>
      </c>
      <c r="O31" s="55" t="s">
        <v>152</v>
      </c>
      <c r="P31" s="56" t="s">
        <v>166</v>
      </c>
    </row>
    <row r="32" spans="1:16" ht="12.75" customHeight="1" thickBot="1">
      <c r="A32" s="38" t="str">
        <f t="shared" si="0"/>
        <v>IBVS 6063 </v>
      </c>
      <c r="B32" s="5" t="str">
        <f t="shared" si="1"/>
        <v>I</v>
      </c>
      <c r="C32" s="38">
        <f t="shared" si="2"/>
        <v>56443.712500000001</v>
      </c>
      <c r="D32" s="12" t="str">
        <f t="shared" si="3"/>
        <v>vis</v>
      </c>
      <c r="E32" s="52" t="e">
        <f>VLOOKUP(C32,Active!C$21:E$970,3,FALSE)</f>
        <v>#N/A</v>
      </c>
      <c r="F32" s="5" t="s">
        <v>66</v>
      </c>
      <c r="G32" s="12" t="str">
        <f t="shared" si="4"/>
        <v>56443.7125</v>
      </c>
      <c r="H32" s="38">
        <f t="shared" si="5"/>
        <v>0</v>
      </c>
      <c r="I32" s="53" t="s">
        <v>167</v>
      </c>
      <c r="J32" s="54" t="s">
        <v>168</v>
      </c>
      <c r="K32" s="53" t="s">
        <v>169</v>
      </c>
      <c r="L32" s="53" t="s">
        <v>170</v>
      </c>
      <c r="M32" s="54" t="s">
        <v>85</v>
      </c>
      <c r="N32" s="54" t="s">
        <v>66</v>
      </c>
      <c r="O32" s="55" t="s">
        <v>152</v>
      </c>
      <c r="P32" s="56" t="s">
        <v>171</v>
      </c>
    </row>
    <row r="33" spans="1:16" ht="12.75" customHeight="1" thickBot="1">
      <c r="A33" s="38" t="str">
        <f t="shared" si="0"/>
        <v>IBVS 6063 </v>
      </c>
      <c r="B33" s="5" t="str">
        <f t="shared" si="1"/>
        <v>I</v>
      </c>
      <c r="C33" s="38">
        <f t="shared" si="2"/>
        <v>56443.713300000003</v>
      </c>
      <c r="D33" s="12" t="str">
        <f t="shared" si="3"/>
        <v>vis</v>
      </c>
      <c r="E33" s="52" t="e">
        <f>VLOOKUP(C33,Active!C$21:E$970,3,FALSE)</f>
        <v>#N/A</v>
      </c>
      <c r="F33" s="5" t="s">
        <v>66</v>
      </c>
      <c r="G33" s="12" t="str">
        <f t="shared" si="4"/>
        <v>56443.7133</v>
      </c>
      <c r="H33" s="38">
        <f t="shared" si="5"/>
        <v>0</v>
      </c>
      <c r="I33" s="53" t="s">
        <v>172</v>
      </c>
      <c r="J33" s="54" t="s">
        <v>173</v>
      </c>
      <c r="K33" s="53" t="s">
        <v>169</v>
      </c>
      <c r="L33" s="53" t="s">
        <v>174</v>
      </c>
      <c r="M33" s="54" t="s">
        <v>85</v>
      </c>
      <c r="N33" s="54" t="s">
        <v>146</v>
      </c>
      <c r="O33" s="55" t="s">
        <v>152</v>
      </c>
      <c r="P33" s="56" t="s">
        <v>171</v>
      </c>
    </row>
    <row r="34" spans="1:16" ht="12.75" customHeight="1" thickBot="1">
      <c r="A34" s="38" t="str">
        <f t="shared" si="0"/>
        <v>IBVS 6063 </v>
      </c>
      <c r="B34" s="5" t="str">
        <f t="shared" si="1"/>
        <v>I</v>
      </c>
      <c r="C34" s="38">
        <f t="shared" si="2"/>
        <v>56443.714399999997</v>
      </c>
      <c r="D34" s="12" t="str">
        <f t="shared" si="3"/>
        <v>vis</v>
      </c>
      <c r="E34" s="52" t="e">
        <f>VLOOKUP(C34,Active!C$21:E$970,3,FALSE)</f>
        <v>#N/A</v>
      </c>
      <c r="F34" s="5" t="s">
        <v>66</v>
      </c>
      <c r="G34" s="12" t="str">
        <f t="shared" si="4"/>
        <v>56443.7144</v>
      </c>
      <c r="H34" s="38">
        <f t="shared" si="5"/>
        <v>0</v>
      </c>
      <c r="I34" s="53" t="s">
        <v>175</v>
      </c>
      <c r="J34" s="54" t="s">
        <v>176</v>
      </c>
      <c r="K34" s="53" t="s">
        <v>169</v>
      </c>
      <c r="L34" s="53" t="s">
        <v>177</v>
      </c>
      <c r="M34" s="54" t="s">
        <v>85</v>
      </c>
      <c r="N34" s="54" t="s">
        <v>178</v>
      </c>
      <c r="O34" s="55" t="s">
        <v>152</v>
      </c>
      <c r="P34" s="56" t="s">
        <v>171</v>
      </c>
    </row>
    <row r="35" spans="1:16" ht="12.75" customHeight="1" thickBot="1">
      <c r="A35" s="38" t="str">
        <f t="shared" si="0"/>
        <v>VSB 59 </v>
      </c>
      <c r="B35" s="5" t="str">
        <f t="shared" si="1"/>
        <v>I</v>
      </c>
      <c r="C35" s="38">
        <f t="shared" si="2"/>
        <v>56789.027699999999</v>
      </c>
      <c r="D35" s="12" t="str">
        <f t="shared" si="3"/>
        <v>vis</v>
      </c>
      <c r="E35" s="52">
        <f>VLOOKUP(C35,Active!C$21:E$970,3,FALSE)</f>
        <v>46050.090330047817</v>
      </c>
      <c r="F35" s="5" t="s">
        <v>66</v>
      </c>
      <c r="G35" s="12" t="str">
        <f t="shared" si="4"/>
        <v>56789.02770</v>
      </c>
      <c r="H35" s="38">
        <f t="shared" si="5"/>
        <v>1281</v>
      </c>
      <c r="I35" s="53" t="s">
        <v>179</v>
      </c>
      <c r="J35" s="54" t="s">
        <v>180</v>
      </c>
      <c r="K35" s="53" t="s">
        <v>181</v>
      </c>
      <c r="L35" s="53" t="s">
        <v>182</v>
      </c>
      <c r="M35" s="54" t="s">
        <v>85</v>
      </c>
      <c r="N35" s="54" t="s">
        <v>183</v>
      </c>
      <c r="O35" s="55" t="s">
        <v>184</v>
      </c>
      <c r="P35" s="56" t="s">
        <v>185</v>
      </c>
    </row>
    <row r="36" spans="1:16">
      <c r="B36" s="5"/>
      <c r="F36" s="5"/>
    </row>
    <row r="37" spans="1:16">
      <c r="B37" s="5"/>
      <c r="F37" s="5"/>
    </row>
    <row r="38" spans="1:16">
      <c r="B38" s="5"/>
      <c r="F38" s="5"/>
    </row>
    <row r="39" spans="1:16">
      <c r="B39" s="5"/>
      <c r="F39" s="5"/>
    </row>
    <row r="40" spans="1:16">
      <c r="B40" s="5"/>
      <c r="F40" s="5"/>
    </row>
    <row r="41" spans="1:16">
      <c r="B41" s="5"/>
      <c r="F41" s="5"/>
    </row>
    <row r="42" spans="1:16">
      <c r="B42" s="5"/>
      <c r="F42" s="5"/>
    </row>
    <row r="43" spans="1:16">
      <c r="B43" s="5"/>
      <c r="F43" s="5"/>
    </row>
    <row r="44" spans="1:16">
      <c r="B44" s="5"/>
      <c r="F44" s="5"/>
    </row>
    <row r="45" spans="1:16">
      <c r="B45" s="5"/>
      <c r="F45" s="5"/>
    </row>
    <row r="46" spans="1:16">
      <c r="B46" s="5"/>
      <c r="F46" s="5"/>
    </row>
    <row r="47" spans="1:16">
      <c r="B47" s="5"/>
      <c r="F47" s="5"/>
    </row>
    <row r="48" spans="1:1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</sheetData>
  <phoneticPr fontId="7" type="noConversion"/>
  <hyperlinks>
    <hyperlink ref="P14" r:id="rId1" display="http://var.astro.cz/oejv/issues/oejv0074.pdf" xr:uid="{00000000-0004-0000-0100-000000000000}"/>
    <hyperlink ref="P15" r:id="rId2" display="http://var.astro.cz/oejv/issues/oejv0074.pdf" xr:uid="{00000000-0004-0000-0100-000001000000}"/>
    <hyperlink ref="P16" r:id="rId3" display="http://var.astro.cz/oejv/issues/oejv0074.pdf" xr:uid="{00000000-0004-0000-0100-000002000000}"/>
    <hyperlink ref="P17" r:id="rId4" display="http://var.astro.cz/oejv/issues/oejv0074.pdf" xr:uid="{00000000-0004-0000-0100-000003000000}"/>
    <hyperlink ref="P18" r:id="rId5" display="http://www.bav-astro.de/sfs/BAVM_link.php?BAVMnr=152" xr:uid="{00000000-0004-0000-0100-000004000000}"/>
    <hyperlink ref="P19" r:id="rId6" display="http://www.bav-astro.de/sfs/BAVM_link.php?BAVMnr=152" xr:uid="{00000000-0004-0000-0100-000005000000}"/>
    <hyperlink ref="P20" r:id="rId7" display="http://www.bav-astro.de/sfs/BAVM_link.php?BAVMnr=158" xr:uid="{00000000-0004-0000-0100-000006000000}"/>
    <hyperlink ref="P21" r:id="rId8" display="http://www.bav-astro.de/sfs/BAVM_link.php?BAVMnr=158" xr:uid="{00000000-0004-0000-0100-000007000000}"/>
    <hyperlink ref="P22" r:id="rId9" display="http://www.bav-astro.de/sfs/BAVM_link.php?BAVMnr=158" xr:uid="{00000000-0004-0000-0100-000008000000}"/>
    <hyperlink ref="P23" r:id="rId10" display="http://www.konkoly.hu/cgi-bin/IBVS?5676" xr:uid="{00000000-0004-0000-0100-000009000000}"/>
    <hyperlink ref="P24" r:id="rId11" display="http://www.konkoly.hu/cgi-bin/IBVS?5676" xr:uid="{00000000-0004-0000-0100-00000A000000}"/>
    <hyperlink ref="P25" r:id="rId12" display="http://www.konkoly.hu/cgi-bin/IBVS?5592" xr:uid="{00000000-0004-0000-0100-00000B000000}"/>
    <hyperlink ref="P26" r:id="rId13" display="http://www.bav-astro.de/sfs/BAVM_link.php?BAVMnr=178" xr:uid="{00000000-0004-0000-0100-00000C000000}"/>
    <hyperlink ref="P27" r:id="rId14" display="http://var.astro.cz/oejv/issues/oejv0074.pdf" xr:uid="{00000000-0004-0000-0100-00000D000000}"/>
    <hyperlink ref="P28" r:id="rId15" display="http://www.konkoly.hu/cgi-bin/IBVS?5894" xr:uid="{00000000-0004-0000-0100-00000E000000}"/>
    <hyperlink ref="P29" r:id="rId16" display="http://www.konkoly.hu/cgi-bin/IBVS?5894" xr:uid="{00000000-0004-0000-0100-00000F000000}"/>
    <hyperlink ref="P30" r:id="rId17" display="http://www.konkoly.hu/cgi-bin/IBVS?5992" xr:uid="{00000000-0004-0000-0100-000010000000}"/>
    <hyperlink ref="P31" r:id="rId18" display="http://www.konkoly.hu/cgi-bin/IBVS?6029" xr:uid="{00000000-0004-0000-0100-000011000000}"/>
    <hyperlink ref="P32" r:id="rId19" display="http://www.konkoly.hu/cgi-bin/IBVS?6063" xr:uid="{00000000-0004-0000-0100-000012000000}"/>
    <hyperlink ref="P33" r:id="rId20" display="http://www.konkoly.hu/cgi-bin/IBVS?6063" xr:uid="{00000000-0004-0000-0100-000013000000}"/>
    <hyperlink ref="P34" r:id="rId21" display="http://www.konkoly.hu/cgi-bin/IBVS?6063" xr:uid="{00000000-0004-0000-0100-000014000000}"/>
    <hyperlink ref="P35" r:id="rId22" display="http://vsolj.cetus-net.org/vsoljno59.pdf" xr:uid="{00000000-0004-0000-0100-000015000000}"/>
  </hyperlinks>
  <pageMargins left="0.75" right="0.75" top="1" bottom="1" header="0.5" footer="0.5"/>
  <pageSetup orientation="portrait" horizontalDpi="300" verticalDpi="300" r:id="rId2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2024-01-30T05:15:23Z</dcterms:modified>
</cp:coreProperties>
</file>