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30AC3DC-4C4F-4684-BE1C-B83EEDE2841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G13" i="2" l="1"/>
  <c r="C13" i="2"/>
  <c r="E13" i="2"/>
  <c r="G12" i="2"/>
  <c r="C12" i="2"/>
  <c r="E12" i="2"/>
  <c r="G11" i="2"/>
  <c r="C11" i="2"/>
  <c r="E11" i="2"/>
  <c r="H13" i="2"/>
  <c r="D13" i="2"/>
  <c r="B13" i="2"/>
  <c r="A13" i="2"/>
  <c r="H12" i="2"/>
  <c r="D12" i="2"/>
  <c r="B12" i="2"/>
  <c r="A12" i="2"/>
  <c r="H11" i="2"/>
  <c r="D11" i="2"/>
  <c r="B11" i="2"/>
  <c r="A11" i="2"/>
  <c r="E24" i="1"/>
  <c r="F24" i="1"/>
  <c r="G24" i="1"/>
  <c r="J24" i="1"/>
  <c r="C9" i="1"/>
  <c r="D9" i="1"/>
  <c r="Q24" i="1"/>
  <c r="E23" i="1"/>
  <c r="F23" i="1"/>
  <c r="G23" i="1"/>
  <c r="J23" i="1"/>
  <c r="Q23" i="1"/>
  <c r="E22" i="1"/>
  <c r="F22" i="1"/>
  <c r="G22" i="1"/>
  <c r="K22" i="1"/>
  <c r="Q22" i="1"/>
  <c r="C21" i="1"/>
  <c r="Q21" i="1"/>
  <c r="F16" i="1"/>
  <c r="F17" i="1" s="1"/>
  <c r="C17" i="1"/>
  <c r="E21" i="1"/>
  <c r="F21" i="1"/>
  <c r="G21" i="1"/>
  <c r="I21" i="1"/>
  <c r="C11" i="1"/>
  <c r="C12" i="1"/>
  <c r="C16" i="1" l="1"/>
  <c r="D18" i="1" s="1"/>
  <c r="C15" i="1"/>
  <c r="F18" i="1" s="1"/>
  <c r="O24" i="1"/>
  <c r="O22" i="1"/>
  <c r="O23" i="1"/>
  <c r="O21" i="1"/>
  <c r="F19" i="1" l="1"/>
  <c r="C18" i="1"/>
</calcChain>
</file>

<file path=xl/sharedStrings.xml><?xml version="1.0" encoding="utf-8"?>
<sst xmlns="http://schemas.openxmlformats.org/spreadsheetml/2006/main" count="92" uniqueCount="73">
  <si>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</si>
  <si>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</si>
  <si>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</si>
  <si>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</si>
  <si>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</si>
  <si>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</si>
  <si>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</si>
  <si>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</si>
  <si>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</si>
  <si>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</si>
  <si>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</si>
  <si>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</si>
  <si>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</si>
  <si>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</si>
  <si>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</si>
  <si>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</si>
  <si>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</si>
  <si>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</si>
  <si>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</si>
  <si>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</si>
  <si>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</si>
  <si>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</si>
  <si>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</si>
  <si>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</si>
  <si>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</si>
  <si>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</si>
  <si>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</si>
  <si>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</si>
  <si>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</si>
  <si>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</si>
  <si>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</si>
  <si>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</si>
  <si>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</si>
  <si>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</si>
  <si>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</si>
  <si>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</si>
  <si>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</si>
  <si>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</si>
  <si>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</si>
  <si>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EW</t>
  </si>
  <si>
    <t>V0506 Cam / GSC 4631-0110</t>
  </si>
  <si>
    <t>IBVS 6029</t>
  </si>
  <si>
    <t>I</t>
  </si>
  <si>
    <t>IBVS 6048</t>
  </si>
  <si>
    <t>IBVS 6084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</si>
  <si>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</si>
  <si>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</si>
  <si>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</si>
  <si>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</si>
  <si>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</si>
  <si>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</si>
  <si>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</si>
  <si>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</si>
  <si>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</si>
  <si>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</si>
  <si>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</si>
  <si>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2455937.9074 </t>
  </si>
  <si>
    <t> 11.01.2012 09:46 </t>
  </si>
  <si>
    <t> 0.0074 </t>
  </si>
  <si>
    <t>C </t>
  </si>
  <si>
    <t> R.Diethelm </t>
  </si>
  <si>
    <t>IBVS 6029 </t>
  </si>
  <si>
    <t>2456043.5089 </t>
  </si>
  <si>
    <t> 26.04.2012 00:12 </t>
  </si>
  <si>
    <t> 0.0079 </t>
  </si>
  <si>
    <t>-I</t>
  </si>
  <si>
    <t> F.Agerer </t>
  </si>
  <si>
    <t>BAVM 228 </t>
  </si>
  <si>
    <t>2456371.5301 </t>
  </si>
  <si>
    <t> 20.03.2013 00:43 </t>
  </si>
  <si>
    <t>14394.5</t>
  </si>
  <si>
    <t> 0.0026 </t>
  </si>
  <si>
    <t>BAVM 232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</si>
</sst>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2" borderId="11" xfId="7" applyFill="1" applyBorder="1" applyAlignment="1" applyProtection="1">
      <alignment horizontal="right" vertical="top" wrapText="1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V0506 Cam - O-C Diagr.</a:t>
            </a:r>
          </a:p>
        </c:rich>
      </c:tx>
      <c:layout>
        <c:manualLayout>
          <c:xMode val="edge"/>
          <c:yMode val="edge"/>
          <c:x val="0.3845177664974619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63451776649745"/>
          <c:y val="0.14035127795846455"/>
          <c:w val="0.835025380710659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1.6999999999999999E-3</c:v>
                  </c:pt>
                  <c:pt idx="3">
                    <c:v>2.7000000000000001E-3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1.6999999999999999E-3</c:v>
                  </c:pt>
                  <c:pt idx="3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13119.5</c:v>
                </c:pt>
                <c:pt idx="2">
                  <c:v>13430</c:v>
                </c:pt>
                <c:pt idx="3">
                  <c:v>14394.5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DB-45DE-9A49-AB8B56DAB8A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1.6999999999999999E-3</c:v>
                  </c:pt>
                  <c:pt idx="3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1.6999999999999999E-3</c:v>
                  </c:pt>
                  <c:pt idx="3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13119.5</c:v>
                </c:pt>
                <c:pt idx="2">
                  <c:v>13430</c:v>
                </c:pt>
                <c:pt idx="3">
                  <c:v>14394.5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DB-45DE-9A49-AB8B56DAB8A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1.6999999999999999E-3</c:v>
                  </c:pt>
                  <c:pt idx="3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1.6999999999999999E-3</c:v>
                  </c:pt>
                  <c:pt idx="3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13119.5</c:v>
                </c:pt>
                <c:pt idx="2">
                  <c:v>13430</c:v>
                </c:pt>
                <c:pt idx="3">
                  <c:v>14394.5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7.900000004156027E-3</c:v>
                </c:pt>
                <c:pt idx="3">
                  <c:v>2.6500000021769665E-3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DB-45DE-9A49-AB8B56DAB8A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1.6999999999999999E-3</c:v>
                  </c:pt>
                  <c:pt idx="3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1.6999999999999999E-3</c:v>
                  </c:pt>
                  <c:pt idx="3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13119.5</c:v>
                </c:pt>
                <c:pt idx="2">
                  <c:v>13430</c:v>
                </c:pt>
                <c:pt idx="3">
                  <c:v>14394.5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7.4499999973340891E-3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DB-45DE-9A49-AB8B56DAB8A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1.6999999999999999E-3</c:v>
                  </c:pt>
                  <c:pt idx="3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1.6999999999999999E-3</c:v>
                  </c:pt>
                  <c:pt idx="3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13119.5</c:v>
                </c:pt>
                <c:pt idx="2">
                  <c:v>13430</c:v>
                </c:pt>
                <c:pt idx="3">
                  <c:v>14394.5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DB-45DE-9A49-AB8B56DAB8A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1.6999999999999999E-3</c:v>
                  </c:pt>
                  <c:pt idx="3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1.6999999999999999E-3</c:v>
                  </c:pt>
                  <c:pt idx="3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13119.5</c:v>
                </c:pt>
                <c:pt idx="2">
                  <c:v>13430</c:v>
                </c:pt>
                <c:pt idx="3">
                  <c:v>14394.5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DB-45DE-9A49-AB8B56DAB8A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1.6999999999999999E-3</c:v>
                  </c:pt>
                  <c:pt idx="3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1.6999999999999999E-3</c:v>
                  </c:pt>
                  <c:pt idx="3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13119.5</c:v>
                </c:pt>
                <c:pt idx="2">
                  <c:v>13430</c:v>
                </c:pt>
                <c:pt idx="3">
                  <c:v>14394.5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DB-45DE-9A49-AB8B56DAB8A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13119.5</c:v>
                </c:pt>
                <c:pt idx="2">
                  <c:v>13430</c:v>
                </c:pt>
                <c:pt idx="3">
                  <c:v>14394.5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2.9633475958428662E-4</c:v>
                </c:pt>
                <c:pt idx="1">
                  <c:v>5.6841802200826774E-3</c:v>
                </c:pt>
                <c:pt idx="2">
                  <c:v>5.8116946844665911E-3</c:v>
                </c:pt>
                <c:pt idx="3">
                  <c:v>6.2077903395335293E-3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DB-45DE-9A49-AB8B56DAB8A1}"/>
            </c:ext>
          </c:extLst>
        </c:ser>
        <c:ser>
          <c:idx val="8"/>
          <c:order val="8"/>
          <c:tx>
            <c:strRef>
              <c:f>Active!$S$20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13119.5</c:v>
                </c:pt>
                <c:pt idx="2">
                  <c:v>13430</c:v>
                </c:pt>
                <c:pt idx="3">
                  <c:v>14394.5</c:v>
                </c:pt>
              </c:numCache>
            </c:numRef>
          </c:xVal>
          <c:yVal>
            <c:numRef>
              <c:f>Active!$S$21:$S$999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DB-45DE-9A49-AB8B56DAB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413368"/>
        <c:axId val="1"/>
      </c:scatterChart>
      <c:valAx>
        <c:axId val="639413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187817258883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95431472081218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9413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776649746192893"/>
          <c:y val="0.92397937099967764"/>
          <c:w val="0.6027918781725888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18</xdr:col>
      <xdr:colOff>609600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4B83839-BA7D-7251-891D-80A069B73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8" TargetMode="External"/><Relationship Id="rId2" Type="http://schemas.openxmlformats.org/officeDocument/2006/relationships/hyperlink" Target="http://www.konkoly.hu/cgi-bin/IBVS?6029" TargetMode="External"/><Relationship Id="rId1" Type="http://schemas.openxmlformats.org/officeDocument/2006/relationships/hyperlink" Target="http://www.bav-astro.de/LkDB/index.php?lang=en&amp;sprache_dial=en" TargetMode="External"/><Relationship Id="rId4" Type="http://schemas.openxmlformats.org/officeDocument/2006/relationships/hyperlink" Target="http://www.bav-astro.de/sfs/BAVM_link.php?BAVMnr=2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6" ht="20.25" x14ac:dyDescent="0.3">
      <c r="A1" s="1" t="s">
        <v>40</v>
      </c>
    </row>
    <row r="2" spans="1:6" x14ac:dyDescent="0.2">
      <c r="A2" t="s">
        <v>23</v>
      </c>
      <c r="B2" t="s">
        <v>39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49">
        <v>51475.957999999999</v>
      </c>
      <c r="D7" s="29" t="s">
        <v>38</v>
      </c>
    </row>
    <row r="8" spans="1:6" x14ac:dyDescent="0.2">
      <c r="A8" t="s">
        <v>3</v>
      </c>
      <c r="C8" s="49">
        <v>0.34010000000000001</v>
      </c>
      <c r="D8" s="29" t="s">
        <v>38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2.9633475958428662E-4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4.1067460349086404E-7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56371.363607585001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0.3401004106746035</v>
      </c>
      <c r="E16" s="14" t="s">
        <v>30</v>
      </c>
      <c r="F16" s="15">
        <f ca="1">NOW()+15018.5+$C$5/24</f>
        <v>60326.624950231482</v>
      </c>
    </row>
    <row r="17" spans="1:19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26024.5</v>
      </c>
    </row>
    <row r="18" spans="1:19" ht="14.25" thickTop="1" thickBot="1" x14ac:dyDescent="0.25">
      <c r="A18" s="16" t="s">
        <v>5</v>
      </c>
      <c r="B18" s="10"/>
      <c r="C18" s="19">
        <f ca="1">+C15</f>
        <v>56371.363607585001</v>
      </c>
      <c r="D18" s="20">
        <f ca="1">+C16</f>
        <v>0.3401004106746035</v>
      </c>
      <c r="E18" s="14" t="s">
        <v>36</v>
      </c>
      <c r="F18" s="23">
        <f ca="1">ROUND(2*(F16-$C$15)/$C$16,0)/2+F15</f>
        <v>11630.5</v>
      </c>
    </row>
    <row r="19" spans="1:19" ht="13.5" thickTop="1" x14ac:dyDescent="0.2">
      <c r="E19" s="14" t="s">
        <v>31</v>
      </c>
      <c r="F19" s="18">
        <f ca="1">+$C$15+$C$16*F18-15018.5-$C$5/24</f>
        <v>45308.797267269314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52</v>
      </c>
      <c r="I20" s="7" t="s">
        <v>55</v>
      </c>
      <c r="J20" s="7" t="s">
        <v>49</v>
      </c>
      <c r="K20" s="7" t="s">
        <v>47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26" t="s">
        <v>33</v>
      </c>
    </row>
    <row r="21" spans="1:19" x14ac:dyDescent="0.2">
      <c r="A21" s="30" t="s">
        <v>38</v>
      </c>
      <c r="B21" s="30"/>
      <c r="C21" s="31">
        <f>C7</f>
        <v>51475.957999999999</v>
      </c>
      <c r="D21" s="31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2.9633475958428662E-4</v>
      </c>
      <c r="Q21" s="2">
        <f>+C21-15018.5</f>
        <v>36457.457999999999</v>
      </c>
      <c r="R21" s="2"/>
    </row>
    <row r="22" spans="1:19" x14ac:dyDescent="0.2">
      <c r="A22" s="31" t="s">
        <v>41</v>
      </c>
      <c r="B22" s="32" t="s">
        <v>42</v>
      </c>
      <c r="C22" s="31">
        <v>55937.907399999996</v>
      </c>
      <c r="D22" s="31">
        <v>5.0000000000000001E-4</v>
      </c>
      <c r="E22">
        <f>+(C22-C$7)/C$8</f>
        <v>13119.521905321957</v>
      </c>
      <c r="F22">
        <f>ROUND(2*E22,0)/2</f>
        <v>13119.5</v>
      </c>
      <c r="G22">
        <f>+C22-(C$7+F22*C$8)</f>
        <v>7.4499999973340891E-3</v>
      </c>
      <c r="K22">
        <f>+G22</f>
        <v>7.4499999973340891E-3</v>
      </c>
      <c r="O22">
        <f ca="1">+C$11+C$12*$F22</f>
        <v>5.6841802200826774E-3</v>
      </c>
      <c r="Q22" s="2">
        <f>+C22-15018.5</f>
        <v>40919.407399999996</v>
      </c>
      <c r="R22" s="2"/>
    </row>
    <row r="23" spans="1:19" x14ac:dyDescent="0.2">
      <c r="A23" s="33" t="s">
        <v>43</v>
      </c>
      <c r="B23" s="34" t="s">
        <v>42</v>
      </c>
      <c r="C23" s="35">
        <v>56043.508900000001</v>
      </c>
      <c r="D23" s="35">
        <v>1.6999999999999999E-3</v>
      </c>
      <c r="E23">
        <f>+(C23-C$7)/C$8</f>
        <v>13430.023228462222</v>
      </c>
      <c r="F23">
        <f>ROUND(2*E23,0)/2</f>
        <v>13430</v>
      </c>
      <c r="G23">
        <f>+C23-(C$7+F23*C$8)</f>
        <v>7.900000004156027E-3</v>
      </c>
      <c r="J23">
        <f>+G23</f>
        <v>7.900000004156027E-3</v>
      </c>
      <c r="O23">
        <f ca="1">+C$11+C$12*$F23</f>
        <v>5.8116946844665911E-3</v>
      </c>
      <c r="Q23" s="2">
        <f>+C23-15018.5</f>
        <v>41025.008900000001</v>
      </c>
      <c r="R23" s="2"/>
    </row>
    <row r="24" spans="1:19" x14ac:dyDescent="0.2">
      <c r="A24" s="35" t="s">
        <v>44</v>
      </c>
      <c r="B24" s="34" t="s">
        <v>42</v>
      </c>
      <c r="C24" s="35">
        <v>56371.530100000004</v>
      </c>
      <c r="D24" s="35">
        <v>2.7000000000000001E-3</v>
      </c>
      <c r="E24">
        <f>+(C24-C$7)/C$8</f>
        <v>14394.507791825947</v>
      </c>
      <c r="F24">
        <f>ROUND(2*E24,0)/2</f>
        <v>14394.5</v>
      </c>
      <c r="G24">
        <f>+C24-(C$7+F24*C$8)</f>
        <v>2.6500000021769665E-3</v>
      </c>
      <c r="J24">
        <f>+G24</f>
        <v>2.6500000021769665E-3</v>
      </c>
      <c r="O24">
        <f ca="1">+C$11+C$12*$F24</f>
        <v>6.2077903395335293E-3</v>
      </c>
      <c r="Q24" s="2">
        <f>+C24-15018.5</f>
        <v>41353.030100000004</v>
      </c>
      <c r="R24" s="2"/>
    </row>
    <row r="25" spans="1:19" x14ac:dyDescent="0.2">
      <c r="C25" s="8"/>
      <c r="D25" s="8"/>
      <c r="Q25" s="2"/>
      <c r="R25" s="2"/>
    </row>
    <row r="26" spans="1:19" x14ac:dyDescent="0.2">
      <c r="C26" s="8"/>
      <c r="D26" s="8"/>
      <c r="Q26" s="2"/>
      <c r="R26" s="2"/>
    </row>
    <row r="27" spans="1:19" x14ac:dyDescent="0.2">
      <c r="C27" s="8"/>
      <c r="D27" s="8"/>
      <c r="Q27" s="2"/>
      <c r="R27" s="2"/>
    </row>
    <row r="28" spans="1:19" x14ac:dyDescent="0.2">
      <c r="C28" s="8"/>
      <c r="D28" s="8"/>
      <c r="Q28" s="2"/>
      <c r="R28" s="2"/>
    </row>
    <row r="29" spans="1:19" x14ac:dyDescent="0.2">
      <c r="C29" s="8"/>
      <c r="D29" s="8"/>
      <c r="Q29" s="2"/>
      <c r="R29" s="2"/>
    </row>
    <row r="30" spans="1:19" x14ac:dyDescent="0.2">
      <c r="C30" s="8"/>
      <c r="D30" s="8"/>
      <c r="Q30" s="2"/>
      <c r="R30" s="2"/>
    </row>
    <row r="31" spans="1:19" x14ac:dyDescent="0.2">
      <c r="C31" s="8"/>
      <c r="D31" s="8"/>
      <c r="Q31" s="2"/>
      <c r="R31" s="2"/>
    </row>
    <row r="32" spans="1:19" x14ac:dyDescent="0.2">
      <c r="C32" s="8"/>
      <c r="D32" s="8"/>
      <c r="Q32" s="2"/>
      <c r="R32" s="2"/>
    </row>
    <row r="33" spans="3:18" x14ac:dyDescent="0.2">
      <c r="C33" s="8"/>
      <c r="D33" s="8"/>
      <c r="Q33" s="2"/>
      <c r="R33" s="2"/>
    </row>
    <row r="34" spans="3:18" x14ac:dyDescent="0.2">
      <c r="C34" s="8"/>
      <c r="D34" s="8"/>
    </row>
    <row r="35" spans="3:18" x14ac:dyDescent="0.2">
      <c r="C35" s="8"/>
      <c r="D35" s="8"/>
    </row>
    <row r="36" spans="3:18" x14ac:dyDescent="0.2">
      <c r="C36" s="8"/>
      <c r="D36" s="8"/>
    </row>
    <row r="37" spans="3:18" x14ac:dyDescent="0.2">
      <c r="C37" s="8"/>
      <c r="D37" s="8"/>
    </row>
    <row r="38" spans="3:18" x14ac:dyDescent="0.2">
      <c r="C38" s="8"/>
      <c r="D38" s="8"/>
    </row>
    <row r="39" spans="3:18" x14ac:dyDescent="0.2">
      <c r="C39" s="8"/>
      <c r="D39" s="8"/>
    </row>
    <row r="40" spans="3:18" x14ac:dyDescent="0.2">
      <c r="C40" s="8"/>
      <c r="D40" s="8"/>
    </row>
    <row r="41" spans="3:18" x14ac:dyDescent="0.2">
      <c r="C41" s="8"/>
      <c r="D41" s="8"/>
    </row>
    <row r="42" spans="3:18" x14ac:dyDescent="0.2">
      <c r="C42" s="8"/>
      <c r="D42" s="8"/>
    </row>
    <row r="43" spans="3:18" x14ac:dyDescent="0.2">
      <c r="C43" s="8"/>
      <c r="D43" s="8"/>
    </row>
    <row r="44" spans="3:18" x14ac:dyDescent="0.2">
      <c r="C44" s="8"/>
      <c r="D44" s="8"/>
    </row>
    <row r="45" spans="3:18" x14ac:dyDescent="0.2">
      <c r="C45" s="8"/>
      <c r="D45" s="8"/>
    </row>
    <row r="46" spans="3:18" x14ac:dyDescent="0.2">
      <c r="C46" s="8"/>
      <c r="D46" s="8"/>
    </row>
    <row r="47" spans="3:18" x14ac:dyDescent="0.2">
      <c r="C47" s="8"/>
      <c r="D47" s="8"/>
    </row>
    <row r="48" spans="3:18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6"/>
  <sheetViews>
    <sheetView workbookViewId="0">
      <selection activeCell="A11" sqref="A11:IV448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6" t="s">
        <v>45</v>
      </c>
      <c r="I1" s="37" t="s">
        <v>46</v>
      </c>
      <c r="J1" s="38" t="s">
        <v>47</v>
      </c>
    </row>
    <row r="2" spans="1:16" x14ac:dyDescent="0.2">
      <c r="I2" s="39" t="s">
        <v>48</v>
      </c>
      <c r="J2" s="40" t="s">
        <v>49</v>
      </c>
    </row>
    <row r="3" spans="1:16" x14ac:dyDescent="0.2">
      <c r="A3" s="41" t="s">
        <v>50</v>
      </c>
      <c r="I3" s="39" t="s">
        <v>51</v>
      </c>
      <c r="J3" s="40" t="s">
        <v>52</v>
      </c>
    </row>
    <row r="4" spans="1:16" x14ac:dyDescent="0.2">
      <c r="I4" s="39" t="s">
        <v>53</v>
      </c>
      <c r="J4" s="40" t="s">
        <v>52</v>
      </c>
    </row>
    <row r="5" spans="1:16" ht="13.5" thickBot="1" x14ac:dyDescent="0.25">
      <c r="I5" s="42" t="s">
        <v>54</v>
      </c>
      <c r="J5" s="43" t="s">
        <v>55</v>
      </c>
    </row>
    <row r="10" spans="1:16" ht="13.5" thickBot="1" x14ac:dyDescent="0.25"/>
    <row r="11" spans="1:16" ht="12.75" customHeight="1" thickBot="1" x14ac:dyDescent="0.25">
      <c r="A11" s="8" t="str">
        <f>P11</f>
        <v>IBVS 6029 </v>
      </c>
      <c r="B11" s="3" t="str">
        <f>IF(H11=INT(H11),"I","II")</f>
        <v>II</v>
      </c>
      <c r="C11" s="8">
        <f>1*G11</f>
        <v>55937.907399999996</v>
      </c>
      <c r="D11" s="10" t="str">
        <f>VLOOKUP(F11,I$1:J$5,2,FALSE)</f>
        <v>vis</v>
      </c>
      <c r="E11" s="44">
        <f>VLOOKUP(C11,Active!C$21:E$973,3,FALSE)</f>
        <v>13119.521905321957</v>
      </c>
      <c r="F11" s="3" t="s">
        <v>54</v>
      </c>
      <c r="G11" s="10" t="str">
        <f>MID(I11,3,LEN(I11)-3)</f>
        <v>55937.9074</v>
      </c>
      <c r="H11" s="8">
        <f>1*K11</f>
        <v>13119.5</v>
      </c>
      <c r="I11" s="45" t="s">
        <v>56</v>
      </c>
      <c r="J11" s="46" t="s">
        <v>57</v>
      </c>
      <c r="K11" s="45">
        <v>13119.5</v>
      </c>
      <c r="L11" s="45" t="s">
        <v>58</v>
      </c>
      <c r="M11" s="46" t="s">
        <v>59</v>
      </c>
      <c r="N11" s="46" t="s">
        <v>54</v>
      </c>
      <c r="O11" s="47" t="s">
        <v>60</v>
      </c>
      <c r="P11" s="48" t="s">
        <v>61</v>
      </c>
    </row>
    <row r="12" spans="1:16" ht="12.75" customHeight="1" thickBot="1" x14ac:dyDescent="0.25">
      <c r="A12" s="8" t="str">
        <f>P12</f>
        <v>BAVM 228 </v>
      </c>
      <c r="B12" s="3" t="str">
        <f>IF(H12=INT(H12),"I","II")</f>
        <v>I</v>
      </c>
      <c r="C12" s="8">
        <f>1*G12</f>
        <v>56043.508900000001</v>
      </c>
      <c r="D12" s="10" t="str">
        <f>VLOOKUP(F12,I$1:J$5,2,FALSE)</f>
        <v>vis</v>
      </c>
      <c r="E12" s="44">
        <f>VLOOKUP(C12,Active!C$21:E$973,3,FALSE)</f>
        <v>13430.023228462222</v>
      </c>
      <c r="F12" s="3" t="s">
        <v>54</v>
      </c>
      <c r="G12" s="10" t="str">
        <f>MID(I12,3,LEN(I12)-3)</f>
        <v>56043.5089</v>
      </c>
      <c r="H12" s="8">
        <f>1*K12</f>
        <v>13430</v>
      </c>
      <c r="I12" s="45" t="s">
        <v>62</v>
      </c>
      <c r="J12" s="46" t="s">
        <v>63</v>
      </c>
      <c r="K12" s="45">
        <v>13430</v>
      </c>
      <c r="L12" s="45" t="s">
        <v>64</v>
      </c>
      <c r="M12" s="46" t="s">
        <v>59</v>
      </c>
      <c r="N12" s="46" t="s">
        <v>65</v>
      </c>
      <c r="O12" s="47" t="s">
        <v>66</v>
      </c>
      <c r="P12" s="48" t="s">
        <v>67</v>
      </c>
    </row>
    <row r="13" spans="1:16" ht="12.75" customHeight="1" thickBot="1" x14ac:dyDescent="0.25">
      <c r="A13" s="8" t="str">
        <f>P13</f>
        <v>BAVM 232 </v>
      </c>
      <c r="B13" s="3" t="str">
        <f>IF(H13=INT(H13),"I","II")</f>
        <v>II</v>
      </c>
      <c r="C13" s="8">
        <f>1*G13</f>
        <v>56371.530100000004</v>
      </c>
      <c r="D13" s="10" t="str">
        <f>VLOOKUP(F13,I$1:J$5,2,FALSE)</f>
        <v>vis</v>
      </c>
      <c r="E13" s="44">
        <f>VLOOKUP(C13,Active!C$21:E$973,3,FALSE)</f>
        <v>14394.507791825947</v>
      </c>
      <c r="F13" s="3" t="s">
        <v>54</v>
      </c>
      <c r="G13" s="10" t="str">
        <f>MID(I13,3,LEN(I13)-3)</f>
        <v>56371.5301</v>
      </c>
      <c r="H13" s="8">
        <f>1*K13</f>
        <v>14394.5</v>
      </c>
      <c r="I13" s="45" t="s">
        <v>68</v>
      </c>
      <c r="J13" s="46" t="s">
        <v>69</v>
      </c>
      <c r="K13" s="45" t="s">
        <v>70</v>
      </c>
      <c r="L13" s="45" t="s">
        <v>71</v>
      </c>
      <c r="M13" s="46" t="s">
        <v>59</v>
      </c>
      <c r="N13" s="46" t="s">
        <v>65</v>
      </c>
      <c r="O13" s="47" t="s">
        <v>66</v>
      </c>
      <c r="P13" s="48" t="s">
        <v>72</v>
      </c>
    </row>
    <row r="14" spans="1:16" x14ac:dyDescent="0.2">
      <c r="B14" s="3"/>
      <c r="F14" s="3"/>
    </row>
    <row r="15" spans="1:16" x14ac:dyDescent="0.2">
      <c r="B15" s="3"/>
      <c r="F15" s="3"/>
    </row>
    <row r="16" spans="1:16" x14ac:dyDescent="0.2">
      <c r="B16" s="3"/>
      <c r="F16" s="3"/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</sheetData>
  <phoneticPr fontId="8" type="noConversion"/>
  <hyperlinks>
    <hyperlink ref="A3" r:id="rId1"/>
    <hyperlink ref="P11" r:id="rId2" display="http://www.konkoly.hu/cgi-bin/IBVS?6029"/>
    <hyperlink ref="P12" r:id="rId3" display="http://www.bav-astro.de/sfs/BAVM_link.php?BAVMnr=228"/>
    <hyperlink ref="P13" r:id="rId4" display="http://www.bav-astro.de/sfs/BAVM_link.php?BAVMnr=23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2024-01-17T01:59:55Z</dcterms:modified>
</cp:coreProperties>
</file>