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A46E33-824E-4C51-A21A-737D63EE0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32" i="1"/>
  <c r="F32" i="1"/>
  <c r="G32" i="1"/>
  <c r="K32" i="1"/>
  <c r="E33" i="1"/>
  <c r="F33" i="1"/>
  <c r="G33" i="1"/>
  <c r="K33" i="1"/>
  <c r="D9" i="1"/>
  <c r="C9" i="1"/>
  <c r="Q32" i="1"/>
  <c r="Q33" i="1"/>
  <c r="E31" i="1"/>
  <c r="F31" i="1"/>
  <c r="G31" i="1"/>
  <c r="K31" i="1"/>
  <c r="E21" i="1"/>
  <c r="F21" i="1"/>
  <c r="G21" i="1"/>
  <c r="I21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Q31" i="1"/>
  <c r="Q23" i="1"/>
  <c r="Q29" i="1"/>
  <c r="Q30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8" i="1"/>
  <c r="Q25" i="1"/>
  <c r="Q27" i="1"/>
  <c r="Q24" i="1"/>
  <c r="K26" i="1"/>
  <c r="Q26" i="1"/>
  <c r="Q22" i="1"/>
  <c r="F14" i="1"/>
  <c r="F15" i="1" s="1"/>
  <c r="C17" i="1"/>
  <c r="Q21" i="1"/>
  <c r="C12" i="1"/>
  <c r="C11" i="1"/>
  <c r="O35" i="1" l="1"/>
  <c r="O34" i="1"/>
  <c r="C16" i="1"/>
  <c r="D18" i="1" s="1"/>
  <c r="O26" i="1"/>
  <c r="O27" i="1"/>
  <c r="O30" i="1"/>
  <c r="O32" i="1"/>
  <c r="O31" i="1"/>
  <c r="O28" i="1"/>
  <c r="C15" i="1"/>
  <c r="O29" i="1"/>
  <c r="O25" i="1"/>
  <c r="O3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<sst xmlns="http://schemas.openxmlformats.org/spreadsheetml/2006/main" count="161" uniqueCount="106">
  <si>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</si>
  <si>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</si>
  <si>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</si>
  <si>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</si>
  <si>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</si>
  <si>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</si>
  <si>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</si>
  <si>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</si>
  <si>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</si>
  <si>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</si>
  <si>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</si>
  <si>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</si>
  <si>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</si>
  <si>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</si>
  <si>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</si>
  <si>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</si>
  <si>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</si>
  <si>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</si>
  <si>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</si>
  <si>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</si>
  <si>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</si>
  <si>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</si>
  <si>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</si>
  <si>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</si>
  <si>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</si>
  <si>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</si>
  <si>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</si>
  <si>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</si>
  <si>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</si>
  <si>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</si>
  <si>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</si>
  <si>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</si>
  <si>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</si>
  <si>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</si>
  <si>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</si>
  <si>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</si>
  <si>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</si>
  <si>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</si>
  <si>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</si>
  <si>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V0514 Cam / GSC 4552-0118</t>
  </si>
  <si>
    <t>G4552-0118</t>
  </si>
  <si>
    <t xml:space="preserve">EW        </t>
  </si>
  <si>
    <t>IBVS 5918</t>
  </si>
  <si>
    <t>I</t>
  </si>
  <si>
    <t>IBVS 6029</t>
  </si>
  <si>
    <t>IBVS 6070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</si>
  <si>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</si>
  <si>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</si>
  <si>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</si>
  <si>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</si>
  <si>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</si>
  <si>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</si>
  <si>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</si>
  <si>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</si>
  <si>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</si>
  <si>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</si>
  <si>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</si>
  <si>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</si>
  <si>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2455645.5666 </t>
  </si>
  <si>
    <t> 25.03.2011 01:35 </t>
  </si>
  <si>
    <t> 0.0269 </t>
  </si>
  <si>
    <t>C </t>
  </si>
  <si>
    <t>-I</t>
  </si>
  <si>
    <t> K. &amp; M.Rätz </t>
  </si>
  <si>
    <t>BAVM 225 </t>
  </si>
  <si>
    <t>2455976.9312 </t>
  </si>
  <si>
    <t> 19.02.2012 10:20 </t>
  </si>
  <si>
    <t>12455</t>
  </si>
  <si>
    <t> 0.0285 </t>
  </si>
  <si>
    <t> R.Diethelm </t>
  </si>
  <si>
    <t>IBVS 6029 </t>
  </si>
  <si>
    <t>2456009.5745 </t>
  </si>
  <si>
    <t> 23.03.2012 01:47 </t>
  </si>
  <si>
    <t>12545</t>
  </si>
  <si>
    <t> 0.0252 </t>
  </si>
  <si>
    <t>BAVM 231 </t>
  </si>
  <si>
    <t>2456035.6943 </t>
  </si>
  <si>
    <t> 18.04.2012 04:39 </t>
  </si>
  <si>
    <t>12617</t>
  </si>
  <si>
    <t> 0.0277 </t>
  </si>
  <si>
    <t>2456055.4632 </t>
  </si>
  <si>
    <t> 07.05.2012 23:07 </t>
  </si>
  <si>
    <t>12671.5</t>
  </si>
  <si>
    <t> 0.0273 </t>
  </si>
  <si>
    <t>2456764.4389 </t>
  </si>
  <si>
    <t> 16.04.2014 22:32 </t>
  </si>
  <si>
    <t>14626</t>
  </si>
  <si>
    <t> F.Agerer </t>
  </si>
  <si>
    <t>BAVM 238 </t>
  </si>
  <si>
    <t>2457091.4485 </t>
  </si>
  <si>
    <t> 09.03.2015 22:45 </t>
  </si>
  <si>
    <t>15527.5</t>
  </si>
  <si>
    <t> 0.0272 </t>
  </si>
  <si>
    <t>BAVM 241 (=IBVS 6157) </t>
  </si>
  <si>
    <t>2457091.6305 </t>
  </si>
  <si>
    <t> 10.03.2015 03:07 </t>
  </si>
  <si>
    <t>15528</t>
  </si>
  <si>
    <t> 0.0278 </t>
  </si>
  <si>
    <t>II</t>
  </si>
  <si>
    <t>IBVS 6157</t>
  </si>
  <si>
    <t>OEJV 250</t>
  </si>
  <si>
    <t>Next ToM-P</t>
  </si>
  <si>
    <t>Next ToM-S</t>
  </si>
  <si>
    <t xml:space="preserve">Mag </t>
  </si>
  <si>
    <t>12.19-12.85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</si>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</sst>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0" fillId="0" borderId="0" xfId="0" applyAlignment="1">
      <alignment horizontal="righ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top"/>
    </xf>
    <xf numFmtId="0" fontId="13" fillId="0" borderId="22" xfId="0" applyFont="1" applyBorder="1">
      <alignment vertical="top"/>
    </xf>
    <xf numFmtId="0" fontId="38" fillId="0" borderId="22" xfId="0" applyFont="1" applyBorder="1">
      <alignment vertical="top"/>
    </xf>
    <xf numFmtId="0" fontId="38" fillId="0" borderId="22" xfId="0" applyFont="1" applyBorder="1" applyAlignment="1"/>
    <xf numFmtId="22" fontId="38" fillId="0" borderId="22" xfId="0" applyNumberFormat="1" applyFont="1" applyBorder="1">
      <alignment vertical="top"/>
    </xf>
    <xf numFmtId="22" fontId="38" fillId="0" borderId="23" xfId="0" applyNumberFormat="1" applyFont="1" applyBorder="1" applyAlignment="1"/>
    <xf numFmtId="0" fontId="37" fillId="0" borderId="24" xfId="0" applyFont="1" applyBorder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Cam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0D-4148-B08C-1EACFC784A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0D-4148-B08C-1EACFC784A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1.7909999995026737E-2</c:v>
                </c:pt>
                <c:pt idx="4">
                  <c:v>2.5200000003678724E-2</c:v>
                </c:pt>
                <c:pt idx="6">
                  <c:v>2.7289999998174608E-2</c:v>
                </c:pt>
                <c:pt idx="7">
                  <c:v>2.7659999999741558E-2</c:v>
                </c:pt>
                <c:pt idx="8">
                  <c:v>2.7149999994435348E-2</c:v>
                </c:pt>
                <c:pt idx="9">
                  <c:v>2.7779999996710103E-2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0D-4148-B08C-1EACFC784A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2.6889999993727542E-2</c:v>
                </c:pt>
                <c:pt idx="3">
                  <c:v>2.8499999993073288E-2</c:v>
                </c:pt>
                <c:pt idx="5">
                  <c:v>2.771999999822583E-2</c:v>
                </c:pt>
                <c:pt idx="10">
                  <c:v>2.4510000002919696E-2</c:v>
                </c:pt>
                <c:pt idx="11">
                  <c:v>2.2879999996803235E-2</c:v>
                </c:pt>
                <c:pt idx="12">
                  <c:v>2.2309999993012752E-2</c:v>
                </c:pt>
                <c:pt idx="13">
                  <c:v>-1.3500000059138983E-3</c:v>
                </c:pt>
                <c:pt idx="14">
                  <c:v>-7.5800000049639493E-3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0D-4148-B08C-1EACFC784A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0D-4148-B08C-1EACFC784A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0D-4148-B08C-1EACFC784A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1.4E-3</c:v>
                  </c:pt>
                  <c:pt idx="8">
                    <c:v>2.8E-3</c:v>
                  </c:pt>
                  <c:pt idx="9">
                    <c:v>3.0999999999999999E-3</c:v>
                  </c:pt>
                  <c:pt idx="10">
                    <c:v>1E-3</c:v>
                  </c:pt>
                  <c:pt idx="11">
                    <c:v>4.1999999999999997E-3</c:v>
                  </c:pt>
                  <c:pt idx="12">
                    <c:v>8.9999999999999998E-4</c:v>
                  </c:pt>
                  <c:pt idx="13">
                    <c:v>1.1E-4</c:v>
                  </c:pt>
                  <c:pt idx="14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0D-4148-B08C-1EACFC784A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4">
                  <c:v>3.8720275030554765E-2</c:v>
                </c:pt>
                <c:pt idx="5">
                  <c:v>3.8454456819258132E-2</c:v>
                </c:pt>
                <c:pt idx="6">
                  <c:v>3.8253247200984983E-2</c:v>
                </c:pt>
                <c:pt idx="7">
                  <c:v>3.1037390340161751E-2</c:v>
                </c:pt>
                <c:pt idx="8">
                  <c:v>2.770912481955181E-2</c:v>
                </c:pt>
                <c:pt idx="9">
                  <c:v>2.7707278859751133E-2</c:v>
                </c:pt>
                <c:pt idx="10">
                  <c:v>2.38104577205345E-2</c:v>
                </c:pt>
                <c:pt idx="11">
                  <c:v>2.0341899255073556E-2</c:v>
                </c:pt>
                <c:pt idx="12">
                  <c:v>2.0340053295272872E-2</c:v>
                </c:pt>
                <c:pt idx="13">
                  <c:v>-2.2508027453397306E-3</c:v>
                </c:pt>
                <c:pt idx="14">
                  <c:v>-5.3354015722610892E-3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0D-4148-B08C-1EACFC784A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8613.5</c:v>
                </c:pt>
                <c:pt idx="2">
                  <c:v>11541.5</c:v>
                </c:pt>
                <c:pt idx="3">
                  <c:v>12455</c:v>
                </c:pt>
                <c:pt idx="4">
                  <c:v>12545</c:v>
                </c:pt>
                <c:pt idx="5">
                  <c:v>12617</c:v>
                </c:pt>
                <c:pt idx="6">
                  <c:v>12671.5</c:v>
                </c:pt>
                <c:pt idx="7">
                  <c:v>14626</c:v>
                </c:pt>
                <c:pt idx="8">
                  <c:v>15527.5</c:v>
                </c:pt>
                <c:pt idx="9">
                  <c:v>15528</c:v>
                </c:pt>
                <c:pt idx="10">
                  <c:v>16583.5</c:v>
                </c:pt>
                <c:pt idx="11">
                  <c:v>17523</c:v>
                </c:pt>
                <c:pt idx="12">
                  <c:v>17523.5</c:v>
                </c:pt>
                <c:pt idx="13">
                  <c:v>23642.5</c:v>
                </c:pt>
                <c:pt idx="14">
                  <c:v>24478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0D-4148-B08C-1EACFC784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06840"/>
        <c:axId val="1"/>
      </c:scatterChart>
      <c:valAx>
        <c:axId val="52370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706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18217F-0228-D52F-4F84-3BE325104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39</v>
      </c>
      <c r="E1" s="27"/>
      <c r="F1" t="s">
        <v>40</v>
      </c>
    </row>
    <row r="2" spans="1:6" x14ac:dyDescent="0.2">
      <c r="A2" t="s">
        <v>25</v>
      </c>
      <c r="B2" t="s">
        <v>41</v>
      </c>
      <c r="C2" s="3"/>
    </row>
    <row r="3" spans="1:6" ht="13.5" thickBot="1" x14ac:dyDescent="0.25"/>
    <row r="4" spans="1:6" ht="13.5" thickBot="1" x14ac:dyDescent="0.25">
      <c r="A4" s="5" t="s">
        <v>2</v>
      </c>
      <c r="C4" s="26">
        <v>51458.976000000002</v>
      </c>
      <c r="D4" s="26">
        <v>0.36274000000000001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59">
        <v>51458.976000000002</v>
      </c>
      <c r="D7" s="25" t="s">
        <v>105</v>
      </c>
    </row>
    <row r="8" spans="1:6" x14ac:dyDescent="0.2">
      <c r="A8" t="s">
        <v>5</v>
      </c>
      <c r="C8" s="59">
        <v>0.36274000000000001</v>
      </c>
      <c r="D8" s="25" t="s">
        <v>105</v>
      </c>
    </row>
    <row r="9" spans="1:6" x14ac:dyDescent="0.2">
      <c r="A9" s="22" t="s">
        <v>34</v>
      </c>
      <c r="B9" s="23">
        <v>28</v>
      </c>
      <c r="C9" s="20" t="str">
        <f>"F"&amp;B9</f>
        <v>F28</v>
      </c>
      <c r="D9" s="21" t="str">
        <f>"G"&amp;B9</f>
        <v>G28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9">
        <f ca="1">INTERCEPT(INDIRECT($D$9):G992,INDIRECT($C$9):F992)</f>
        <v>8.5035406429392016E-2</v>
      </c>
      <c r="D11" s="3"/>
      <c r="E11" s="10"/>
    </row>
    <row r="12" spans="1:6" x14ac:dyDescent="0.2">
      <c r="A12" s="10" t="s">
        <v>18</v>
      </c>
      <c r="B12" s="10"/>
      <c r="C12" s="19">
        <f ca="1">SLOPE(INDIRECT($D$9):G992,INDIRECT($C$9):F992)</f>
        <v>-3.6919196013421484E-6</v>
      </c>
      <c r="D12" s="3"/>
      <c r="E12" s="63" t="s">
        <v>103</v>
      </c>
      <c r="F12" s="64" t="s">
        <v>104</v>
      </c>
    </row>
    <row r="13" spans="1:6" x14ac:dyDescent="0.2">
      <c r="A13" s="10" t="s">
        <v>20</v>
      </c>
      <c r="B13" s="10"/>
      <c r="C13" s="3" t="s">
        <v>15</v>
      </c>
      <c r="E13" s="65" t="s">
        <v>36</v>
      </c>
      <c r="F13" s="66">
        <v>1</v>
      </c>
    </row>
    <row r="14" spans="1:6" x14ac:dyDescent="0.2">
      <c r="A14" s="10"/>
      <c r="B14" s="10"/>
      <c r="C14" s="10"/>
      <c r="E14" s="65" t="s">
        <v>32</v>
      </c>
      <c r="F14" s="67">
        <f ca="1">NOW()+15018.5+$C$5/24</f>
        <v>60519.82542361111</v>
      </c>
    </row>
    <row r="15" spans="1:6" x14ac:dyDescent="0.2">
      <c r="A15" s="12" t="s">
        <v>19</v>
      </c>
      <c r="B15" s="10"/>
      <c r="C15" s="13">
        <f ca="1">(C7+C11)+(C8+C12)*INT(MAX(F21:F3533))</f>
        <v>60338.120384598427</v>
      </c>
      <c r="E15" s="65" t="s">
        <v>37</v>
      </c>
      <c r="F15" s="67">
        <f ca="1">ROUND(2*(F14-$C$7)/$C$8,0)/2+F13</f>
        <v>24980</v>
      </c>
    </row>
    <row r="16" spans="1:6" x14ac:dyDescent="0.2">
      <c r="A16" s="15" t="s">
        <v>6</v>
      </c>
      <c r="B16" s="10"/>
      <c r="C16" s="16">
        <f ca="1">+C8+C12</f>
        <v>0.36273630808039864</v>
      </c>
      <c r="E16" s="65" t="s">
        <v>33</v>
      </c>
      <c r="F16" s="68">
        <f ca="1">ROUND(2*(F14-$C$15)/$C$16,0)/2+F13</f>
        <v>502</v>
      </c>
    </row>
    <row r="17" spans="1:21" ht="13.5" thickBot="1" x14ac:dyDescent="0.25">
      <c r="A17" s="14" t="s">
        <v>29</v>
      </c>
      <c r="B17" s="10"/>
      <c r="C17" s="10">
        <f>COUNT(C21:C2191)</f>
        <v>15</v>
      </c>
      <c r="E17" s="65" t="s">
        <v>101</v>
      </c>
      <c r="F17" s="69">
        <f ca="1">+$C$15+$C$16*$F$16-15018.5-$C$5/24</f>
        <v>45502.109844588122</v>
      </c>
    </row>
    <row r="18" spans="1:21" ht="14.25" thickTop="1" thickBot="1" x14ac:dyDescent="0.25">
      <c r="A18" s="15" t="s">
        <v>7</v>
      </c>
      <c r="B18" s="10"/>
      <c r="C18" s="17">
        <f ca="1">+C15</f>
        <v>60338.120384598427</v>
      </c>
      <c r="D18" s="18">
        <f ca="1">+C16</f>
        <v>0.36273630808039864</v>
      </c>
      <c r="E18" s="71" t="s">
        <v>102</v>
      </c>
      <c r="F18" s="70">
        <f ca="1">+($C$15+$C$16*$F$16)-($C$16/2)-15018.5-$C$5/24</f>
        <v>45501.928476434085</v>
      </c>
    </row>
    <row r="19" spans="1:21" ht="13.5" thickTop="1" x14ac:dyDescent="0.2"/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U20" s="24" t="s">
        <v>35</v>
      </c>
    </row>
    <row r="21" spans="1:21" x14ac:dyDescent="0.2">
      <c r="A21" s="25" t="s">
        <v>38</v>
      </c>
      <c r="C21" s="8">
        <v>51458.976000000002</v>
      </c>
      <c r="D21" s="8" t="s">
        <v>15</v>
      </c>
      <c r="E21">
        <f t="shared" ref="E21:E30" si="0">+(C21-C$7)/C$8</f>
        <v>0</v>
      </c>
      <c r="F21">
        <f t="shared" ref="F21:F33" si="1">ROUND(2*E21,0)/2</f>
        <v>0</v>
      </c>
      <c r="G21">
        <f t="shared" ref="G21:G30" si="2">+C21-(C$7+F21*C$8)</f>
        <v>0</v>
      </c>
      <c r="I21">
        <f>+G21</f>
        <v>0</v>
      </c>
      <c r="Q21" s="2">
        <f t="shared" ref="Q21:Q30" si="3">+C21-15018.5</f>
        <v>36440.476000000002</v>
      </c>
      <c r="R21" s="2"/>
    </row>
    <row r="22" spans="1:21" x14ac:dyDescent="0.2">
      <c r="A22" s="28" t="s">
        <v>42</v>
      </c>
      <c r="B22" s="29" t="s">
        <v>43</v>
      </c>
      <c r="C22" s="28">
        <v>54583.454899999997</v>
      </c>
      <c r="D22" s="28">
        <v>1E-4</v>
      </c>
      <c r="E22" s="30">
        <f t="shared" si="0"/>
        <v>8613.5493742074068</v>
      </c>
      <c r="F22">
        <f t="shared" si="1"/>
        <v>8613.5</v>
      </c>
      <c r="G22">
        <f t="shared" si="2"/>
        <v>1.7909999995026737E-2</v>
      </c>
      <c r="J22">
        <f>+G22</f>
        <v>1.7909999995026737E-2</v>
      </c>
      <c r="Q22" s="2">
        <f t="shared" si="3"/>
        <v>39564.954899999997</v>
      </c>
      <c r="R22" s="2"/>
    </row>
    <row r="23" spans="1:21" x14ac:dyDescent="0.2">
      <c r="A23" s="46" t="s">
        <v>64</v>
      </c>
      <c r="B23" s="47" t="s">
        <v>98</v>
      </c>
      <c r="C23" s="46">
        <v>55645.566599999998</v>
      </c>
      <c r="D23" s="46" t="s">
        <v>57</v>
      </c>
      <c r="E23" s="30">
        <f t="shared" si="0"/>
        <v>11541.574130231007</v>
      </c>
      <c r="F23">
        <f t="shared" si="1"/>
        <v>11541.5</v>
      </c>
      <c r="G23">
        <f t="shared" si="2"/>
        <v>2.6889999993727542E-2</v>
      </c>
      <c r="K23">
        <f>+G23</f>
        <v>2.6889999993727542E-2</v>
      </c>
      <c r="Q23" s="2">
        <f t="shared" si="3"/>
        <v>40627.066599999998</v>
      </c>
      <c r="R23" s="2"/>
    </row>
    <row r="24" spans="1:21" x14ac:dyDescent="0.2">
      <c r="A24" s="31" t="s">
        <v>44</v>
      </c>
      <c r="B24" s="32" t="s">
        <v>43</v>
      </c>
      <c r="C24" s="31">
        <v>55976.931199999999</v>
      </c>
      <c r="D24" s="31">
        <v>2.9999999999999997E-4</v>
      </c>
      <c r="E24" s="30">
        <f t="shared" si="0"/>
        <v>12455.078568671766</v>
      </c>
      <c r="F24">
        <f t="shared" si="1"/>
        <v>12455</v>
      </c>
      <c r="G24">
        <f t="shared" si="2"/>
        <v>2.8499999993073288E-2</v>
      </c>
      <c r="K24">
        <f>+G24</f>
        <v>2.8499999993073288E-2</v>
      </c>
      <c r="Q24" s="2">
        <f t="shared" si="3"/>
        <v>40958.431199999999</v>
      </c>
      <c r="R24" s="2"/>
    </row>
    <row r="25" spans="1:21" x14ac:dyDescent="0.2">
      <c r="A25" s="48" t="s">
        <v>45</v>
      </c>
      <c r="B25" s="32" t="s">
        <v>43</v>
      </c>
      <c r="C25" s="31">
        <v>56009.574500000002</v>
      </c>
      <c r="D25" s="31">
        <v>2.9999999999999997E-4</v>
      </c>
      <c r="E25" s="30">
        <f t="shared" si="0"/>
        <v>12545.069471246623</v>
      </c>
      <c r="F25">
        <f t="shared" si="1"/>
        <v>12545</v>
      </c>
      <c r="G25">
        <f t="shared" si="2"/>
        <v>2.5200000003678724E-2</v>
      </c>
      <c r="J25">
        <f>+G25</f>
        <v>2.5200000003678724E-2</v>
      </c>
      <c r="O25">
        <f t="shared" ref="O25:O30" ca="1" si="4">+C$11+C$12*$F25</f>
        <v>3.8720275030554765E-2</v>
      </c>
      <c r="Q25" s="2">
        <f t="shared" si="3"/>
        <v>40991.074500000002</v>
      </c>
      <c r="R25" s="2"/>
    </row>
    <row r="26" spans="1:21" x14ac:dyDescent="0.2">
      <c r="A26" s="31" t="s">
        <v>44</v>
      </c>
      <c r="B26" s="32" t="s">
        <v>43</v>
      </c>
      <c r="C26" s="31">
        <v>56035.694300000003</v>
      </c>
      <c r="D26" s="31">
        <v>4.0000000000000002E-4</v>
      </c>
      <c r="E26" s="30">
        <f t="shared" si="0"/>
        <v>12617.076418371285</v>
      </c>
      <c r="F26">
        <f t="shared" si="1"/>
        <v>12617</v>
      </c>
      <c r="G26">
        <f t="shared" si="2"/>
        <v>2.771999999822583E-2</v>
      </c>
      <c r="K26">
        <f>+G26</f>
        <v>2.771999999822583E-2</v>
      </c>
      <c r="O26">
        <f t="shared" ca="1" si="4"/>
        <v>3.8454456819258132E-2</v>
      </c>
      <c r="Q26" s="2">
        <f t="shared" si="3"/>
        <v>41017.194300000003</v>
      </c>
      <c r="R26" s="2"/>
    </row>
    <row r="27" spans="1:21" x14ac:dyDescent="0.2">
      <c r="A27" s="48" t="s">
        <v>45</v>
      </c>
      <c r="B27" s="32" t="s">
        <v>43</v>
      </c>
      <c r="C27" s="31">
        <v>56055.463199999998</v>
      </c>
      <c r="D27" s="31">
        <v>2.0000000000000001E-4</v>
      </c>
      <c r="E27" s="30">
        <f t="shared" si="0"/>
        <v>12671.575232949208</v>
      </c>
      <c r="F27">
        <f t="shared" si="1"/>
        <v>12671.5</v>
      </c>
      <c r="G27">
        <f t="shared" si="2"/>
        <v>2.7289999998174608E-2</v>
      </c>
      <c r="J27">
        <f>+G27</f>
        <v>2.7289999998174608E-2</v>
      </c>
      <c r="O27">
        <f t="shared" ca="1" si="4"/>
        <v>3.8253247200984983E-2</v>
      </c>
      <c r="Q27" s="2">
        <f t="shared" si="3"/>
        <v>41036.963199999998</v>
      </c>
      <c r="R27" s="2"/>
    </row>
    <row r="28" spans="1:21" x14ac:dyDescent="0.2">
      <c r="A28" s="49" t="s">
        <v>46</v>
      </c>
      <c r="B28" s="50" t="s">
        <v>43</v>
      </c>
      <c r="C28" s="49">
        <v>56764.438900000001</v>
      </c>
      <c r="D28" s="49">
        <v>1.4E-3</v>
      </c>
      <c r="E28" s="30">
        <f t="shared" si="0"/>
        <v>14626.07625296355</v>
      </c>
      <c r="F28">
        <f t="shared" si="1"/>
        <v>14626</v>
      </c>
      <c r="G28">
        <f t="shared" si="2"/>
        <v>2.7659999999741558E-2</v>
      </c>
      <c r="J28">
        <f>+G28</f>
        <v>2.7659999999741558E-2</v>
      </c>
      <c r="O28">
        <f t="shared" ca="1" si="4"/>
        <v>3.1037390340161751E-2</v>
      </c>
      <c r="Q28" s="2">
        <f t="shared" si="3"/>
        <v>41745.938900000001</v>
      </c>
      <c r="R28" s="2"/>
    </row>
    <row r="29" spans="1:21" x14ac:dyDescent="0.2">
      <c r="A29" s="51" t="s">
        <v>99</v>
      </c>
      <c r="B29" s="52"/>
      <c r="C29" s="51">
        <v>57091.448499999999</v>
      </c>
      <c r="D29" s="51">
        <v>2.8E-3</v>
      </c>
      <c r="E29" s="30">
        <f t="shared" si="0"/>
        <v>15527.574846997839</v>
      </c>
      <c r="F29">
        <f t="shared" si="1"/>
        <v>15527.5</v>
      </c>
      <c r="G29">
        <f t="shared" si="2"/>
        <v>2.7149999994435348E-2</v>
      </c>
      <c r="J29">
        <f>+G29</f>
        <v>2.7149999994435348E-2</v>
      </c>
      <c r="O29">
        <f t="shared" ca="1" si="4"/>
        <v>2.770912481955181E-2</v>
      </c>
      <c r="Q29" s="2">
        <f t="shared" si="3"/>
        <v>42072.948499999999</v>
      </c>
      <c r="R29" s="2"/>
    </row>
    <row r="30" spans="1:21" x14ac:dyDescent="0.2">
      <c r="A30" s="51" t="s">
        <v>99</v>
      </c>
      <c r="B30" s="52"/>
      <c r="C30" s="51">
        <v>57091.630499999999</v>
      </c>
      <c r="D30" s="51">
        <v>3.0999999999999999E-3</v>
      </c>
      <c r="E30" s="30">
        <f t="shared" si="0"/>
        <v>15528.076583779006</v>
      </c>
      <c r="F30">
        <f t="shared" si="1"/>
        <v>15528</v>
      </c>
      <c r="G30">
        <f t="shared" si="2"/>
        <v>2.7779999996710103E-2</v>
      </c>
      <c r="J30">
        <f>+G30</f>
        <v>2.7779999996710103E-2</v>
      </c>
      <c r="O30">
        <f t="shared" ca="1" si="4"/>
        <v>2.7707278859751133E-2</v>
      </c>
      <c r="Q30" s="2">
        <f t="shared" si="3"/>
        <v>42073.130499999999</v>
      </c>
      <c r="R30" s="2"/>
    </row>
    <row r="31" spans="1:21" x14ac:dyDescent="0.2">
      <c r="A31" s="53" t="s">
        <v>1</v>
      </c>
      <c r="B31" s="54" t="s">
        <v>43</v>
      </c>
      <c r="C31" s="55">
        <v>57474.499300000003</v>
      </c>
      <c r="D31" s="55">
        <v>1E-3</v>
      </c>
      <c r="E31" s="30">
        <f>+(C31-C$7)/C$8</f>
        <v>16583.56756905773</v>
      </c>
      <c r="F31">
        <f t="shared" si="1"/>
        <v>16583.5</v>
      </c>
      <c r="G31">
        <f>+C31-(C$7+F31*C$8)</f>
        <v>2.4510000002919696E-2</v>
      </c>
      <c r="K31">
        <f>+G31</f>
        <v>2.4510000002919696E-2</v>
      </c>
      <c r="O31">
        <f ca="1">+C$11+C$12*$F31</f>
        <v>2.38104577205345E-2</v>
      </c>
      <c r="Q31" s="2">
        <f>+C31-15018.5</f>
        <v>42455.999300000003</v>
      </c>
      <c r="R31" s="2"/>
    </row>
    <row r="32" spans="1:21" x14ac:dyDescent="0.2">
      <c r="A32" s="56" t="s">
        <v>0</v>
      </c>
      <c r="B32" s="57" t="s">
        <v>43</v>
      </c>
      <c r="C32" s="58">
        <v>57815.291899999997</v>
      </c>
      <c r="D32" s="58">
        <v>4.1999999999999997E-3</v>
      </c>
      <c r="E32" s="30">
        <f>+(C32-C$7)/C$8</f>
        <v>17523.063075481045</v>
      </c>
      <c r="F32">
        <f t="shared" si="1"/>
        <v>17523</v>
      </c>
      <c r="G32">
        <f>+C32-(C$7+F32*C$8)</f>
        <v>2.2879999996803235E-2</v>
      </c>
      <c r="K32">
        <f>+G32</f>
        <v>2.2879999996803235E-2</v>
      </c>
      <c r="O32">
        <f ca="1">+C$11+C$12*$F32</f>
        <v>2.0341899255073556E-2</v>
      </c>
      <c r="Q32" s="2">
        <f>+C32-15018.5</f>
        <v>42796.791899999997</v>
      </c>
      <c r="R32" s="2"/>
    </row>
    <row r="33" spans="1:18" x14ac:dyDescent="0.2">
      <c r="A33" s="56" t="s">
        <v>0</v>
      </c>
      <c r="B33" s="57" t="s">
        <v>43</v>
      </c>
      <c r="C33" s="58">
        <v>57815.472699999998</v>
      </c>
      <c r="D33" s="58">
        <v>8.9999999999999998E-4</v>
      </c>
      <c r="E33" s="30">
        <f>+(C33-C$7)/C$8</f>
        <v>17523.561504107613</v>
      </c>
      <c r="F33">
        <f t="shared" si="1"/>
        <v>17523.5</v>
      </c>
      <c r="G33">
        <f>+C33-(C$7+F33*C$8)</f>
        <v>2.2309999993012752E-2</v>
      </c>
      <c r="K33">
        <f>+G33</f>
        <v>2.2309999993012752E-2</v>
      </c>
      <c r="O33">
        <f ca="1">+C$11+C$12*$F33</f>
        <v>2.0340053295272872E-2</v>
      </c>
      <c r="Q33" s="2">
        <f>+C33-15018.5</f>
        <v>42796.972699999998</v>
      </c>
      <c r="R33" s="2"/>
    </row>
    <row r="34" spans="1:18" x14ac:dyDescent="0.2">
      <c r="A34" s="60" t="s">
        <v>100</v>
      </c>
      <c r="B34" s="61" t="s">
        <v>98</v>
      </c>
      <c r="C34" s="62">
        <v>60035.055099999998</v>
      </c>
      <c r="D34" s="62">
        <v>1.1E-4</v>
      </c>
      <c r="E34" s="30">
        <f t="shared" ref="E34:E35" si="5">+(C34-C$7)/C$8</f>
        <v>23642.49627832606</v>
      </c>
      <c r="F34">
        <f t="shared" ref="F34:F35" si="6">ROUND(2*E34,0)/2</f>
        <v>23642.5</v>
      </c>
      <c r="G34">
        <f t="shared" ref="G34:G35" si="7">+C34-(C$7+F34*C$8)</f>
        <v>-1.3500000059138983E-3</v>
      </c>
      <c r="K34">
        <f t="shared" ref="K34:K35" si="8">+G34</f>
        <v>-1.3500000059138983E-3</v>
      </c>
      <c r="O34">
        <f t="shared" ref="O34:O35" ca="1" si="9">+C$11+C$12*$F34</f>
        <v>-2.2508027453397306E-3</v>
      </c>
      <c r="Q34" s="2">
        <f t="shared" ref="Q34:Q35" si="10">+C34-15018.5</f>
        <v>45016.555099999998</v>
      </c>
      <c r="R34" s="2"/>
    </row>
    <row r="35" spans="1:18" x14ac:dyDescent="0.2">
      <c r="A35" s="60" t="s">
        <v>100</v>
      </c>
      <c r="B35" s="61" t="s">
        <v>43</v>
      </c>
      <c r="C35" s="62">
        <v>60338.118139999999</v>
      </c>
      <c r="D35" s="62">
        <v>8.0000000000000007E-5</v>
      </c>
      <c r="E35" s="30">
        <f t="shared" si="5"/>
        <v>24477.979103490092</v>
      </c>
      <c r="F35">
        <f t="shared" si="6"/>
        <v>24478</v>
      </c>
      <c r="G35">
        <f t="shared" si="7"/>
        <v>-7.5800000049639493E-3</v>
      </c>
      <c r="K35">
        <f t="shared" si="8"/>
        <v>-7.5800000049639493E-3</v>
      </c>
      <c r="O35">
        <f t="shared" ca="1" si="9"/>
        <v>-5.3354015722610892E-3</v>
      </c>
      <c r="Q35" s="2">
        <f t="shared" si="10"/>
        <v>45319.618139999999</v>
      </c>
      <c r="R35" s="2"/>
    </row>
    <row r="36" spans="1:18" x14ac:dyDescent="0.2">
      <c r="C36" s="8"/>
      <c r="D36" s="8"/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26" r:id="rId1" display="http://vsolj.cetus-net.org/bulletin.html" xr:uid="{00000000-0004-0000-0000-000000000000}"/>
    <hyperlink ref="H64622" r:id="rId2" display="http://vsolj.cetus-net.org/bulletin.html" xr:uid="{00000000-0004-0000-0000-000001000000}"/>
    <hyperlink ref="H64615" r:id="rId3" display="https://www.aavso.org/ejaavso" xr:uid="{00000000-0004-0000-0000-000002000000}"/>
    <hyperlink ref="AP1473" r:id="rId4" display="http://cdsbib.u-strasbg.fr/cgi-bin/cdsbib?1990RMxAA..21..381G" xr:uid="{00000000-0004-0000-0000-000003000000}"/>
    <hyperlink ref="AP1470" r:id="rId5" display="http://cdsbib.u-strasbg.fr/cgi-bin/cdsbib?1990RMxAA..21..381G" xr:uid="{00000000-0004-0000-0000-000004000000}"/>
    <hyperlink ref="AP1472" r:id="rId6" display="http://cdsbib.u-strasbg.fr/cgi-bin/cdsbib?1990RMxAA..21..381G" xr:uid="{00000000-0004-0000-0000-000005000000}"/>
    <hyperlink ref="AP1448" r:id="rId7" display="http://cdsbib.u-strasbg.fr/cgi-bin/cdsbib?1990RMxAA..21..381G" xr:uid="{00000000-0004-0000-0000-000006000000}"/>
    <hyperlink ref="I64622" r:id="rId8" display="http://vsolj.cetus-net.org/bulletin.html" xr:uid="{00000000-0004-0000-0000-000007000000}"/>
    <hyperlink ref="AQ1609" r:id="rId9" display="http://cdsbib.u-strasbg.fr/cgi-bin/cdsbib?1990RMxAA..21..381G" xr:uid="{00000000-0004-0000-0000-000008000000}"/>
    <hyperlink ref="AQ3253" r:id="rId10" display="http://cdsbib.u-strasbg.fr/cgi-bin/cdsbib?1990RMxAA..21..381G" xr:uid="{00000000-0004-0000-0000-000009000000}"/>
    <hyperlink ref="AQ1610" r:id="rId11" display="http://cdsbib.u-strasbg.fr/cgi-bin/cdsbib?1990RMxAA..21..381G" xr:uid="{00000000-0004-0000-0000-00000A000000}"/>
    <hyperlink ref="H64619" r:id="rId12" display="https://www.aavso.org/ejaavso" xr:uid="{00000000-0004-0000-0000-00000B000000}"/>
    <hyperlink ref="H2460" r:id="rId13" display="http://vsolj.cetus-net.org/bulletin.html" xr:uid="{00000000-0004-0000-0000-00000C000000}"/>
    <hyperlink ref="AP5698" r:id="rId14" display="http://cdsbib.u-strasbg.fr/cgi-bin/cdsbib?1990RMxAA..21..381G" xr:uid="{00000000-0004-0000-0000-00000D000000}"/>
    <hyperlink ref="AP5701" r:id="rId15" display="http://cdsbib.u-strasbg.fr/cgi-bin/cdsbib?1990RMxAA..21..381G" xr:uid="{00000000-0004-0000-0000-00000E000000}"/>
    <hyperlink ref="AP5699" r:id="rId16" display="http://cdsbib.u-strasbg.fr/cgi-bin/cdsbib?1990RMxAA..21..381G" xr:uid="{00000000-0004-0000-0000-00000F000000}"/>
    <hyperlink ref="AP5677" r:id="rId17" display="http://cdsbib.u-strasbg.fr/cgi-bin/cdsbib?1990RMxAA..21..381G" xr:uid="{00000000-0004-0000-0000-000010000000}"/>
    <hyperlink ref="I2460" r:id="rId18" display="http://vsolj.cetus-net.org/bulletin.html" xr:uid="{00000000-0004-0000-0000-000011000000}"/>
    <hyperlink ref="AQ5811" r:id="rId19" display="http://cdsbib.u-strasbg.fr/cgi-bin/cdsbib?1990RMxAA..21..381G" xr:uid="{00000000-0004-0000-0000-000012000000}"/>
    <hyperlink ref="AQ363" r:id="rId20" display="http://cdsbib.u-strasbg.fr/cgi-bin/cdsbib?1990RMxAA..21..381G" xr:uid="{00000000-0004-0000-0000-000013000000}"/>
    <hyperlink ref="AQ581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2"/>
  <sheetViews>
    <sheetView workbookViewId="0">
      <selection activeCell="A17" sqref="A17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47</v>
      </c>
      <c r="I1" s="34" t="s">
        <v>48</v>
      </c>
      <c r="J1" s="35" t="s">
        <v>49</v>
      </c>
    </row>
    <row r="2" spans="1:16" x14ac:dyDescent="0.2">
      <c r="I2" s="36" t="s">
        <v>50</v>
      </c>
      <c r="J2" s="37" t="s">
        <v>51</v>
      </c>
    </row>
    <row r="3" spans="1:16" x14ac:dyDescent="0.2">
      <c r="A3" s="38" t="s">
        <v>52</v>
      </c>
      <c r="I3" s="36" t="s">
        <v>53</v>
      </c>
      <c r="J3" s="37" t="s">
        <v>54</v>
      </c>
    </row>
    <row r="4" spans="1:16" x14ac:dyDescent="0.2">
      <c r="I4" s="36" t="s">
        <v>55</v>
      </c>
      <c r="J4" s="37" t="s">
        <v>54</v>
      </c>
    </row>
    <row r="5" spans="1:16" ht="13.5" thickBot="1" x14ac:dyDescent="0.25">
      <c r="I5" s="39" t="s">
        <v>56</v>
      </c>
      <c r="J5" s="40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BAVM 225 </v>
      </c>
      <c r="B11" s="3" t="str">
        <f t="shared" ref="B11:B18" si="1">IF(H11=INT(H11),"I","II")</f>
        <v>II</v>
      </c>
      <c r="C11" s="8">
        <f t="shared" ref="C11:C18" si="2">1*G11</f>
        <v>55645.566599999998</v>
      </c>
      <c r="D11" s="10" t="str">
        <f t="shared" ref="D11:D18" si="3">VLOOKUP(F11,I$1:J$5,2,FALSE)</f>
        <v>vis</v>
      </c>
      <c r="E11" s="41">
        <f>VLOOKUP(C11,Active!C$21:E$973,3,FALSE)</f>
        <v>11541.574130231007</v>
      </c>
      <c r="F11" s="3" t="s">
        <v>56</v>
      </c>
      <c r="G11" s="10" t="str">
        <f t="shared" ref="G11:G18" si="4">MID(I11,3,LEN(I11)-3)</f>
        <v>55645.5666</v>
      </c>
      <c r="H11" s="8">
        <f t="shared" ref="H11:H18" si="5">1*K11</f>
        <v>11541.5</v>
      </c>
      <c r="I11" s="42" t="s">
        <v>58</v>
      </c>
      <c r="J11" s="43" t="s">
        <v>59</v>
      </c>
      <c r="K11" s="42">
        <v>11541.5</v>
      </c>
      <c r="L11" s="42" t="s">
        <v>60</v>
      </c>
      <c r="M11" s="43" t="s">
        <v>61</v>
      </c>
      <c r="N11" s="43" t="s">
        <v>62</v>
      </c>
      <c r="O11" s="44" t="s">
        <v>63</v>
      </c>
      <c r="P11" s="45" t="s">
        <v>64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55976.931199999999</v>
      </c>
      <c r="D12" s="10" t="str">
        <f t="shared" si="3"/>
        <v>vis</v>
      </c>
      <c r="E12" s="41">
        <f>VLOOKUP(C12,Active!C$21:E$973,3,FALSE)</f>
        <v>12455.078568671766</v>
      </c>
      <c r="F12" s="3" t="s">
        <v>56</v>
      </c>
      <c r="G12" s="10" t="str">
        <f t="shared" si="4"/>
        <v>55976.9312</v>
      </c>
      <c r="H12" s="8">
        <f t="shared" si="5"/>
        <v>12455</v>
      </c>
      <c r="I12" s="42" t="s">
        <v>65</v>
      </c>
      <c r="J12" s="43" t="s">
        <v>66</v>
      </c>
      <c r="K12" s="42" t="s">
        <v>67</v>
      </c>
      <c r="L12" s="42" t="s">
        <v>68</v>
      </c>
      <c r="M12" s="43" t="s">
        <v>61</v>
      </c>
      <c r="N12" s="43" t="s">
        <v>56</v>
      </c>
      <c r="O12" s="44" t="s">
        <v>69</v>
      </c>
      <c r="P12" s="45" t="s">
        <v>70</v>
      </c>
    </row>
    <row r="13" spans="1:16" ht="12.75" customHeight="1" thickBot="1" x14ac:dyDescent="0.25">
      <c r="A13" s="8" t="str">
        <f t="shared" si="0"/>
        <v>BAVM 231 </v>
      </c>
      <c r="B13" s="3" t="str">
        <f t="shared" si="1"/>
        <v>I</v>
      </c>
      <c r="C13" s="8">
        <f t="shared" si="2"/>
        <v>56009.574500000002</v>
      </c>
      <c r="D13" s="10" t="str">
        <f t="shared" si="3"/>
        <v>vis</v>
      </c>
      <c r="E13" s="41">
        <f>VLOOKUP(C13,Active!C$21:E$973,3,FALSE)</f>
        <v>12545.069471246623</v>
      </c>
      <c r="F13" s="3" t="s">
        <v>56</v>
      </c>
      <c r="G13" s="10" t="str">
        <f t="shared" si="4"/>
        <v>56009.5745</v>
      </c>
      <c r="H13" s="8">
        <f t="shared" si="5"/>
        <v>12545</v>
      </c>
      <c r="I13" s="42" t="s">
        <v>71</v>
      </c>
      <c r="J13" s="43" t="s">
        <v>72</v>
      </c>
      <c r="K13" s="42" t="s">
        <v>73</v>
      </c>
      <c r="L13" s="42" t="s">
        <v>74</v>
      </c>
      <c r="M13" s="43" t="s">
        <v>61</v>
      </c>
      <c r="N13" s="43" t="s">
        <v>62</v>
      </c>
      <c r="O13" s="44" t="s">
        <v>63</v>
      </c>
      <c r="P13" s="45" t="s">
        <v>75</v>
      </c>
    </row>
    <row r="14" spans="1:16" ht="12.75" customHeight="1" thickBot="1" x14ac:dyDescent="0.25">
      <c r="A14" s="8" t="str">
        <f t="shared" si="0"/>
        <v>IBVS 6029 </v>
      </c>
      <c r="B14" s="3" t="str">
        <f t="shared" si="1"/>
        <v>I</v>
      </c>
      <c r="C14" s="8">
        <f t="shared" si="2"/>
        <v>56035.694300000003</v>
      </c>
      <c r="D14" s="10" t="str">
        <f t="shared" si="3"/>
        <v>vis</v>
      </c>
      <c r="E14" s="41">
        <f>VLOOKUP(C14,Active!C$21:E$973,3,FALSE)</f>
        <v>12617.076418371285</v>
      </c>
      <c r="F14" s="3" t="s">
        <v>56</v>
      </c>
      <c r="G14" s="10" t="str">
        <f t="shared" si="4"/>
        <v>56035.6943</v>
      </c>
      <c r="H14" s="8">
        <f t="shared" si="5"/>
        <v>12617</v>
      </c>
      <c r="I14" s="42" t="s">
        <v>76</v>
      </c>
      <c r="J14" s="43" t="s">
        <v>77</v>
      </c>
      <c r="K14" s="42" t="s">
        <v>78</v>
      </c>
      <c r="L14" s="42" t="s">
        <v>79</v>
      </c>
      <c r="M14" s="43" t="s">
        <v>61</v>
      </c>
      <c r="N14" s="43" t="s">
        <v>56</v>
      </c>
      <c r="O14" s="44" t="s">
        <v>69</v>
      </c>
      <c r="P14" s="45" t="s">
        <v>70</v>
      </c>
    </row>
    <row r="15" spans="1:16" ht="12.75" customHeight="1" thickBot="1" x14ac:dyDescent="0.25">
      <c r="A15" s="8" t="str">
        <f t="shared" si="0"/>
        <v>BAVM 231 </v>
      </c>
      <c r="B15" s="3" t="str">
        <f t="shared" si="1"/>
        <v>II</v>
      </c>
      <c r="C15" s="8">
        <f t="shared" si="2"/>
        <v>56055.463199999998</v>
      </c>
      <c r="D15" s="10" t="str">
        <f t="shared" si="3"/>
        <v>vis</v>
      </c>
      <c r="E15" s="41">
        <f>VLOOKUP(C15,Active!C$21:E$973,3,FALSE)</f>
        <v>12671.575232949208</v>
      </c>
      <c r="F15" s="3" t="s">
        <v>56</v>
      </c>
      <c r="G15" s="10" t="str">
        <f t="shared" si="4"/>
        <v>56055.4632</v>
      </c>
      <c r="H15" s="8">
        <f t="shared" si="5"/>
        <v>12671.5</v>
      </c>
      <c r="I15" s="42" t="s">
        <v>80</v>
      </c>
      <c r="J15" s="43" t="s">
        <v>81</v>
      </c>
      <c r="K15" s="42" t="s">
        <v>82</v>
      </c>
      <c r="L15" s="42" t="s">
        <v>83</v>
      </c>
      <c r="M15" s="43" t="s">
        <v>61</v>
      </c>
      <c r="N15" s="43" t="s">
        <v>62</v>
      </c>
      <c r="O15" s="44" t="s">
        <v>63</v>
      </c>
      <c r="P15" s="45" t="s">
        <v>75</v>
      </c>
    </row>
    <row r="16" spans="1:16" ht="12.75" customHeight="1" thickBot="1" x14ac:dyDescent="0.25">
      <c r="A16" s="8" t="str">
        <f t="shared" si="0"/>
        <v>BAVM 238 </v>
      </c>
      <c r="B16" s="3" t="str">
        <f t="shared" si="1"/>
        <v>I</v>
      </c>
      <c r="C16" s="8">
        <f t="shared" si="2"/>
        <v>56764.438900000001</v>
      </c>
      <c r="D16" s="10" t="str">
        <f t="shared" si="3"/>
        <v>vis</v>
      </c>
      <c r="E16" s="41">
        <f>VLOOKUP(C16,Active!C$21:E$973,3,FALSE)</f>
        <v>14626.07625296355</v>
      </c>
      <c r="F16" s="3" t="s">
        <v>56</v>
      </c>
      <c r="G16" s="10" t="str">
        <f t="shared" si="4"/>
        <v>56764.4389</v>
      </c>
      <c r="H16" s="8">
        <f t="shared" si="5"/>
        <v>14626</v>
      </c>
      <c r="I16" s="42" t="s">
        <v>84</v>
      </c>
      <c r="J16" s="43" t="s">
        <v>85</v>
      </c>
      <c r="K16" s="42" t="s">
        <v>86</v>
      </c>
      <c r="L16" s="42" t="s">
        <v>79</v>
      </c>
      <c r="M16" s="43" t="s">
        <v>61</v>
      </c>
      <c r="N16" s="43" t="s">
        <v>62</v>
      </c>
      <c r="O16" s="44" t="s">
        <v>87</v>
      </c>
      <c r="P16" s="45" t="s">
        <v>88</v>
      </c>
    </row>
    <row r="17" spans="1:16" ht="12.75" customHeight="1" thickBot="1" x14ac:dyDescent="0.25">
      <c r="A17" s="8" t="str">
        <f t="shared" si="0"/>
        <v>BAVM 241 (=IBVS 6157) </v>
      </c>
      <c r="B17" s="3" t="str">
        <f t="shared" si="1"/>
        <v>II</v>
      </c>
      <c r="C17" s="8">
        <f t="shared" si="2"/>
        <v>57091.448499999999</v>
      </c>
      <c r="D17" s="10" t="str">
        <f t="shared" si="3"/>
        <v>vis</v>
      </c>
      <c r="E17" s="41">
        <f>VLOOKUP(C17,Active!C$21:E$973,3,FALSE)</f>
        <v>15527.574846997839</v>
      </c>
      <c r="F17" s="3" t="s">
        <v>56</v>
      </c>
      <c r="G17" s="10" t="str">
        <f t="shared" si="4"/>
        <v>57091.4485</v>
      </c>
      <c r="H17" s="8">
        <f t="shared" si="5"/>
        <v>15527.5</v>
      </c>
      <c r="I17" s="42" t="s">
        <v>89</v>
      </c>
      <c r="J17" s="43" t="s">
        <v>90</v>
      </c>
      <c r="K17" s="42" t="s">
        <v>91</v>
      </c>
      <c r="L17" s="42" t="s">
        <v>92</v>
      </c>
      <c r="M17" s="43" t="s">
        <v>61</v>
      </c>
      <c r="N17" s="43" t="s">
        <v>62</v>
      </c>
      <c r="O17" s="44" t="s">
        <v>87</v>
      </c>
      <c r="P17" s="45" t="s">
        <v>93</v>
      </c>
    </row>
    <row r="18" spans="1:16" ht="12.75" customHeight="1" thickBot="1" x14ac:dyDescent="0.25">
      <c r="A18" s="8" t="str">
        <f t="shared" si="0"/>
        <v>BAVM 241 (=IBVS 6157) </v>
      </c>
      <c r="B18" s="3" t="str">
        <f t="shared" si="1"/>
        <v>I</v>
      </c>
      <c r="C18" s="8">
        <f t="shared" si="2"/>
        <v>57091.630499999999</v>
      </c>
      <c r="D18" s="10" t="str">
        <f t="shared" si="3"/>
        <v>vis</v>
      </c>
      <c r="E18" s="41">
        <f>VLOOKUP(C18,Active!C$21:E$973,3,FALSE)</f>
        <v>15528.076583779006</v>
      </c>
      <c r="F18" s="3" t="s">
        <v>56</v>
      </c>
      <c r="G18" s="10" t="str">
        <f t="shared" si="4"/>
        <v>57091.6305</v>
      </c>
      <c r="H18" s="8">
        <f t="shared" si="5"/>
        <v>15528</v>
      </c>
      <c r="I18" s="42" t="s">
        <v>94</v>
      </c>
      <c r="J18" s="43" t="s">
        <v>95</v>
      </c>
      <c r="K18" s="42" t="s">
        <v>96</v>
      </c>
      <c r="L18" s="42" t="s">
        <v>97</v>
      </c>
      <c r="M18" s="43" t="s">
        <v>61</v>
      </c>
      <c r="N18" s="43" t="s">
        <v>62</v>
      </c>
      <c r="O18" s="44" t="s">
        <v>87</v>
      </c>
      <c r="P18" s="45" t="s">
        <v>93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5" xr:uid="{00000000-0004-0000-0100-000001000000}"/>
    <hyperlink ref="P12" r:id="rId3" display="http://www.konkoly.hu/cgi-bin/IBVS?6029" xr:uid="{00000000-0004-0000-0100-000002000000}"/>
    <hyperlink ref="P13" r:id="rId4" display="http://www.bav-astro.de/sfs/BAVM_link.php?BAVMnr=231" xr:uid="{00000000-0004-0000-0100-000003000000}"/>
    <hyperlink ref="P14" r:id="rId5" display="http://www.konkoly.hu/cgi-bin/IBVS?6029" xr:uid="{00000000-0004-0000-0100-000004000000}"/>
    <hyperlink ref="P15" r:id="rId6" display="http://www.bav-astro.de/sfs/BAVM_link.php?BAVMnr=231" xr:uid="{00000000-0004-0000-0100-000005000000}"/>
    <hyperlink ref="P16" r:id="rId7" display="http://www.bav-astro.de/sfs/BAVM_link.php?BAVMnr=238" xr:uid="{00000000-0004-0000-0100-000006000000}"/>
    <hyperlink ref="P17" r:id="rId8" display="http://www.bav-astro.de/sfs/BAVM_link.php?BAVMnr=241" xr:uid="{00000000-0004-0000-0100-000007000000}"/>
    <hyperlink ref="P18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2024-07-28T07:48:36Z</dcterms:modified>
</cp:coreProperties>
</file>