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68EAF5B-69A7-43DC-8B76-13DA04EAE3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2" i="1"/>
  <c r="F22" i="1" s="1"/>
  <c r="G22" i="1" s="1"/>
  <c r="H22" i="1" s="1"/>
  <c r="Q22" i="1"/>
  <c r="C22" i="1"/>
  <c r="R22" i="1" s="1"/>
  <c r="G11" i="1"/>
  <c r="F11" i="1"/>
  <c r="C17" i="1"/>
  <c r="Q21" i="1"/>
  <c r="E21" i="1"/>
  <c r="F21" i="1"/>
  <c r="G21" i="1" s="1"/>
  <c r="H21" i="1" s="1"/>
  <c r="C12" i="1"/>
  <c r="C16" i="1" l="1"/>
  <c r="D18" i="1" s="1"/>
  <c r="C11" i="1"/>
  <c r="O22" i="1" l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<sst xmlns="http://schemas.openxmlformats.org/spreadsheetml/2006/main" count="51" uniqueCount="48">
  <si>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</si>
  <si>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</si>
  <si>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</si>
  <si>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</si>
  <si>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</si>
  <si>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</si>
  <si>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</si>
  <si>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</si>
  <si>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</si>
  <si>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</si>
  <si>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</si>
  <si>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</si>
  <si>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</si>
  <si>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</si>
  <si>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</si>
  <si>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</si>
  <si>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</si>
  <si>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</si>
  <si>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</si>
  <si>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</si>
  <si>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</si>
  <si>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</si>
  <si>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</si>
  <si>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</si>
  <si>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</si>
  <si>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</si>
  <si>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</si>
  <si>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</si>
  <si>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</si>
  <si>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</si>
  <si>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</si>
  <si>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</si>
  <si>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</si>
  <si>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</si>
  <si>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</si>
  <si>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5500 Eph.</t>
  </si>
  <si>
    <t>IBVS 5500</t>
  </si>
  <si>
    <t>EW</t>
  </si>
  <si>
    <t>CW Cap / GSC 3328-0163</t>
  </si>
  <si>
    <t>VSX</t>
  </si>
  <si>
    <t>I</t>
  </si>
  <si>
    <t>CCD</t>
  </si>
  <si>
    <t xml:space="preserve">Mag </t>
  </si>
  <si>
    <t>Add cycle</t>
  </si>
  <si>
    <t>Old Cycle</t>
  </si>
  <si>
    <t>Next ToM-P</t>
  </si>
  <si>
    <t>Next ToM-S</t>
  </si>
  <si>
    <t>14.26-14.50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</si>
</sst>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3" fillId="2" borderId="7" xfId="0" applyFont="1" applyFill="1" applyBorder="1" applyAlignment="1">
      <alignment horizontal="right" vertical="center"/>
    </xf>
    <xf numFmtId="0" fontId="13" fillId="2" borderId="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22" fontId="15" fillId="0" borderId="11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Cap - O-C Diagr.</a:t>
            </a:r>
          </a:p>
        </c:rich>
      </c:tx>
      <c:layout>
        <c:manualLayout>
          <c:xMode val="edge"/>
          <c:yMode val="edge"/>
          <c:x val="0.3413533834586466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117667333506626"/>
          <c:w val="0.8466165413533834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-1.0433550000016112E-2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63-423C-91F1-97609EE5620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63-423C-91F1-97609EE5620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63-423C-91F1-97609EE5620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63-423C-91F1-97609EE5620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63-423C-91F1-97609EE5620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63-423C-91F1-97609EE5620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63-423C-91F1-97609EE5620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-1.0433550000016112E-2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63-423C-91F1-97609EE56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01424"/>
        <c:axId val="1"/>
      </c:scatterChart>
      <c:valAx>
        <c:axId val="649401424"/>
        <c:scaling>
          <c:orientation val="minMax"/>
          <c:max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9401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53064690443099"/>
          <c:w val="0.63458646616541348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35CC78-9A54-CD1E-9E51-B62D9B46F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42578125" customWidth="1"/>
    <col min="6" max="6" width="18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23</v>
      </c>
      <c r="B2" t="s">
        <v>37</v>
      </c>
      <c r="C2" s="3"/>
      <c r="D2" s="3"/>
    </row>
    <row r="3" spans="1:7" ht="13.5" thickBot="1" x14ac:dyDescent="0.25"/>
    <row r="4" spans="1:7" ht="13.5" thickBot="1" x14ac:dyDescent="0.25">
      <c r="A4" s="5" t="s">
        <v>35</v>
      </c>
      <c r="C4" s="24">
        <v>52493.417999999998</v>
      </c>
      <c r="D4" s="25">
        <v>0.36416599999999999</v>
      </c>
    </row>
    <row r="6" spans="1:7" x14ac:dyDescent="0.2">
      <c r="A6" s="5" t="s">
        <v>0</v>
      </c>
    </row>
    <row r="7" spans="1:7" x14ac:dyDescent="0.2">
      <c r="A7" t="s">
        <v>1</v>
      </c>
      <c r="C7">
        <v>53582.1</v>
      </c>
      <c r="D7" t="s">
        <v>39</v>
      </c>
    </row>
    <row r="8" spans="1:7" x14ac:dyDescent="0.2">
      <c r="A8" t="s">
        <v>2</v>
      </c>
      <c r="C8">
        <v>0.36416510000000002</v>
      </c>
      <c r="D8" t="s">
        <v>39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14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15</v>
      </c>
      <c r="B12" s="10"/>
      <c r="C12" s="19">
        <f ca="1">SLOPE(INDIRECT($G$11):G992,INDIRECT($F$11):F992)</f>
        <v>3.4900652283044363E-6</v>
      </c>
      <c r="D12" s="3"/>
      <c r="E12" s="26" t="s">
        <v>42</v>
      </c>
      <c r="F12" s="27" t="s">
        <v>47</v>
      </c>
    </row>
    <row r="13" spans="1:7" x14ac:dyDescent="0.2">
      <c r="A13" s="10" t="s">
        <v>18</v>
      </c>
      <c r="B13" s="10"/>
      <c r="C13" s="3" t="s">
        <v>12</v>
      </c>
      <c r="D13" s="3"/>
      <c r="E13" s="28" t="s">
        <v>43</v>
      </c>
      <c r="F13" s="29">
        <v>1</v>
      </c>
    </row>
    <row r="14" spans="1:7" x14ac:dyDescent="0.2">
      <c r="A14" s="10"/>
      <c r="B14" s="10"/>
      <c r="C14" s="10"/>
      <c r="D14" s="10"/>
      <c r="E14" s="28" t="s">
        <v>32</v>
      </c>
      <c r="F14" s="30">
        <f ca="1">NOW()+15018.5+$C$9/24</f>
        <v>60517.746971180553</v>
      </c>
    </row>
    <row r="15" spans="1:7" x14ac:dyDescent="0.2">
      <c r="A15" s="12" t="s">
        <v>16</v>
      </c>
      <c r="B15" s="10"/>
      <c r="C15" s="13">
        <f ca="1">(C7+C11)+(C8+C12)*INT(MAX(F21:F3533))</f>
        <v>53582.1</v>
      </c>
      <c r="D15" s="14"/>
      <c r="E15" s="28" t="s">
        <v>44</v>
      </c>
      <c r="F15" s="30">
        <f ca="1">ROUND(2*($F$14-$C$7)/$C$8,0)/2+$F$13</f>
        <v>19046.5</v>
      </c>
    </row>
    <row r="16" spans="1:7" x14ac:dyDescent="0.2">
      <c r="A16" s="15" t="s">
        <v>3</v>
      </c>
      <c r="B16" s="10"/>
      <c r="C16" s="16">
        <f ca="1">+C8+C12</f>
        <v>0.36416859006522834</v>
      </c>
      <c r="D16" s="14"/>
      <c r="E16" s="28" t="s">
        <v>33</v>
      </c>
      <c r="F16" s="30">
        <f ca="1">ROUND(2*($F$14-$C$15)/$C$16,0)/2+$F$13</f>
        <v>19046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/>
      <c r="E17" s="31" t="s">
        <v>45</v>
      </c>
      <c r="F17" s="32">
        <f ca="1">+$C$15+$C$16*$F$16-15018.5-$C$9/24</f>
        <v>45499.950799715676</v>
      </c>
    </row>
    <row r="18" spans="1:18" ht="14.25" thickTop="1" thickBot="1" x14ac:dyDescent="0.25">
      <c r="A18" s="15" t="s">
        <v>4</v>
      </c>
      <c r="B18" s="10"/>
      <c r="C18" s="17">
        <f ca="1">+C15</f>
        <v>53582.1</v>
      </c>
      <c r="D18" s="18">
        <f ca="1">+C16</f>
        <v>0.36416859006522834</v>
      </c>
      <c r="E18" s="34" t="s">
        <v>46</v>
      </c>
      <c r="F18" s="33">
        <f ca="1">+($C$15+$C$16*$F$16)-($C$16/2)-15018.5-$C$9/24</f>
        <v>45499.768715420643</v>
      </c>
    </row>
    <row r="19" spans="1:18" ht="13.5" thickTop="1" x14ac:dyDescent="0.2">
      <c r="A19" s="22" t="s">
        <v>34</v>
      </c>
      <c r="E19" s="23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41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8" x14ac:dyDescent="0.2">
      <c r="A21" t="s">
        <v>36</v>
      </c>
      <c r="C21" s="8">
        <v>52493.417999999998</v>
      </c>
      <c r="D21" s="8" t="s">
        <v>12</v>
      </c>
      <c r="E21">
        <f>+(C21-C$7)/C$8</f>
        <v>-2989.5286506038074</v>
      </c>
      <c r="F21">
        <f>ROUND(2*E21,0)/2</f>
        <v>-2989.5</v>
      </c>
      <c r="G21">
        <f>+C21-(C$7+F21*C$8)</f>
        <v>-1.0433550000016112E-2</v>
      </c>
      <c r="H21">
        <f>+G21</f>
        <v>-1.0433550000016112E-2</v>
      </c>
      <c r="O21">
        <f ca="1">+C$11+C$12*$F21</f>
        <v>-1.0433550000016112E-2</v>
      </c>
      <c r="Q21" s="2">
        <f>+C21-15018.5</f>
        <v>37474.917999999998</v>
      </c>
    </row>
    <row r="22" spans="1:18" x14ac:dyDescent="0.2">
      <c r="A22" t="s">
        <v>39</v>
      </c>
      <c r="B22" t="s">
        <v>40</v>
      </c>
      <c r="C22" s="8">
        <f>C7</f>
        <v>53582.1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0</v>
      </c>
      <c r="Q22" s="2">
        <f>+C22-15018.5</f>
        <v>38563.599999999999</v>
      </c>
      <c r="R22" t="str">
        <f>IF(ABS(C22-C21)&lt;0.00001,1,"")</f>
        <v/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2024-07-26T05:55:38Z</dcterms:modified>
</cp:coreProperties>
</file>