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F5C5351-CC5E-425F-B10C-10DA6A2C4B89}" xr6:coauthVersionLast="47" xr6:coauthVersionMax="47" xr10:uidLastSave="{00000000-0000-0000-0000-000000000000}"/>
  <bookViews>
    <workbookView xWindow="3000" yWindow="168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C26" i="1"/>
  <c r="A26" i="1"/>
  <c r="F14" i="1"/>
  <c r="E24" i="1"/>
  <c r="F24" i="1" s="1"/>
  <c r="G24" i="1" s="1"/>
  <c r="I24" i="1" s="1"/>
  <c r="F11" i="1"/>
  <c r="Q22" i="1"/>
  <c r="Q23" i="1"/>
  <c r="Q24" i="1"/>
  <c r="Q25" i="1"/>
  <c r="G11" i="1"/>
  <c r="E22" i="1"/>
  <c r="F22" i="1" s="1"/>
  <c r="G22" i="1" s="1"/>
  <c r="I22" i="1" s="1"/>
  <c r="C8" i="1"/>
  <c r="E21" i="1"/>
  <c r="F21" i="1"/>
  <c r="G21" i="1" s="1"/>
  <c r="H21" i="1" s="1"/>
  <c r="C17" i="1"/>
  <c r="Q21" i="1"/>
  <c r="E23" i="1"/>
  <c r="F23" i="1"/>
  <c r="G23" i="1" s="1"/>
  <c r="I23" i="1" s="1"/>
  <c r="E25" i="1"/>
  <c r="F25" i="1"/>
  <c r="G25" i="1" s="1"/>
  <c r="I25" i="1" s="1"/>
  <c r="C12" i="1"/>
  <c r="F15" i="1" l="1"/>
  <c r="C16" i="1"/>
  <c r="D18" i="1" s="1"/>
  <c r="C11" i="1"/>
  <c r="O26" i="1" l="1"/>
  <c r="O21" i="1"/>
  <c r="O23" i="1"/>
  <c r="O24" i="1"/>
  <c r="O22" i="1"/>
  <c r="O25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<sst xmlns="http://schemas.openxmlformats.org/spreadsheetml/2006/main" count="59" uniqueCount="50">
  <si>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</si>
  <si>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</si>
  <si>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</si>
  <si>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</si>
  <si>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</si>
  <si>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</si>
  <si>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</si>
  <si>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</si>
  <si>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</si>
  <si>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</si>
  <si>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</si>
  <si>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</si>
  <si>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</si>
  <si>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</si>
  <si>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</si>
  <si>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</si>
  <si>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</si>
  <si>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</si>
  <si>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</si>
  <si>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</si>
  <si>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</si>
  <si>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</si>
  <si>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</si>
  <si>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</si>
  <si>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</si>
  <si>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</si>
  <si>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</si>
  <si>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</si>
  <si>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</si>
  <si>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</si>
  <si>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</si>
  <si>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</si>
  <si>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</si>
  <si>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</si>
  <si>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</si>
  <si>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</si>
  <si>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AS Car / G5971-0959</t>
  </si>
  <si>
    <t>EA</t>
  </si>
  <si>
    <t>Car_AS.xls</t>
  </si>
  <si>
    <t>IBVS 5809</t>
  </si>
  <si>
    <t>GCVS</t>
  </si>
  <si>
    <t>CCD</t>
  </si>
  <si>
    <t xml:space="preserve">Mag </t>
  </si>
  <si>
    <t>Add cycle</t>
  </si>
  <si>
    <t>Old Cycle</t>
  </si>
  <si>
    <t>Next ToM-P</t>
  </si>
  <si>
    <t>Next ToM-S</t>
  </si>
  <si>
    <t>11.64-13.10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</si>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</sst>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14" fillId="0" borderId="0" xfId="0" applyFont="1" applyAlignment="1">
      <alignment horizontal="left" wrapText="1"/>
    </xf>
    <xf numFmtId="0" fontId="0" fillId="2" borderId="5" xfId="0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7" fillId="0" borderId="8" xfId="0" applyFont="1" applyBorder="1" applyAlignment="1"/>
    <xf numFmtId="0" fontId="16" fillId="0" borderId="8" xfId="0" applyFont="1" applyBorder="1" applyAlignment="1"/>
    <xf numFmtId="22" fontId="15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/>
    <xf numFmtId="22" fontId="16" fillId="0" borderId="9" xfId="0" applyNumberFormat="1" applyFont="1" applyBorder="1" applyAlignment="1"/>
    <xf numFmtId="0" fontId="15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Car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-0.60536500000307569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79-4355-AB05-4EE4C96C65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-6.9000000003143214E-3</c:v>
                </c:pt>
                <c:pt idx="2">
                  <c:v>-1.7780000001948792E-2</c:v>
                </c:pt>
                <c:pt idx="3">
                  <c:v>-1.0710000002291054E-2</c:v>
                </c:pt>
                <c:pt idx="4">
                  <c:v>-1.4300000038929284E-3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79-4355-AB05-4EE4C96C65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79-4355-AB05-4EE4C96C65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79-4355-AB05-4EE4C96C65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79-4355-AB05-4EE4C96C65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79-4355-AB05-4EE4C96C65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79-4355-AB05-4EE4C96C65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-11219.5</c:v>
                </c:pt>
                <c:pt idx="1">
                  <c:v>-770</c:v>
                </c:pt>
                <c:pt idx="2">
                  <c:v>-654</c:v>
                </c:pt>
                <c:pt idx="3">
                  <c:v>-653</c:v>
                </c:pt>
                <c:pt idx="4">
                  <c:v>-649</c:v>
                </c:pt>
                <c:pt idx="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-0.60381491466810699</c:v>
                </c:pt>
                <c:pt idx="1">
                  <c:v>-2.0228702039159031E-2</c:v>
                </c:pt>
                <c:pt idx="2">
                  <c:v>-1.3750305880016689E-2</c:v>
                </c:pt>
                <c:pt idx="3">
                  <c:v>-1.3694457637265456E-2</c:v>
                </c:pt>
                <c:pt idx="4">
                  <c:v>-1.3471064666260552E-2</c:v>
                </c:pt>
                <c:pt idx="5">
                  <c:v>2.2774444879285857E-2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79-4355-AB05-4EE4C96C6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6920"/>
        <c:axId val="1"/>
      </c:scatterChart>
      <c:valAx>
        <c:axId val="685116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6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9C13DC-FCC0-62E2-1A90-46F5DC423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36</v>
      </c>
      <c r="F1">
        <v>23921.654999999999</v>
      </c>
      <c r="G1">
        <v>2.76593</v>
      </c>
      <c r="H1" t="s">
        <v>37</v>
      </c>
      <c r="I1" t="s">
        <v>38</v>
      </c>
    </row>
    <row r="2" spans="1:9" x14ac:dyDescent="0.2">
      <c r="A2" t="s">
        <v>24</v>
      </c>
      <c r="B2" t="s">
        <v>37</v>
      </c>
      <c r="C2" s="3"/>
      <c r="D2" s="3"/>
      <c r="E2" t="s">
        <v>38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23921.654999999999</v>
      </c>
      <c r="D4" s="9">
        <v>2.76593</v>
      </c>
    </row>
    <row r="6" spans="1:9" x14ac:dyDescent="0.2">
      <c r="A6" s="5" t="s">
        <v>1</v>
      </c>
    </row>
    <row r="7" spans="1:9" x14ac:dyDescent="0.2">
      <c r="A7" t="s">
        <v>2</v>
      </c>
      <c r="C7">
        <v>54954.612000000001</v>
      </c>
      <c r="D7" s="27" t="s">
        <v>48</v>
      </c>
    </row>
    <row r="8" spans="1:9" x14ac:dyDescent="0.2">
      <c r="A8" t="s">
        <v>3</v>
      </c>
      <c r="C8">
        <f>+D4</f>
        <v>2.76593</v>
      </c>
      <c r="D8" s="27" t="s">
        <v>48</v>
      </c>
    </row>
    <row r="9" spans="1:9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1">
        <f ca="1">INTERCEPT(INDIRECT($G$11):G992,INDIRECT($F$11):F992)</f>
        <v>2.2774444879285857E-2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x14ac:dyDescent="0.2">
      <c r="A12" s="12" t="s">
        <v>17</v>
      </c>
      <c r="B12" s="12"/>
      <c r="C12" s="21">
        <f ca="1">SLOPE(INDIRECT($G$11):G992,INDIRECT($F$11):F992)</f>
        <v>5.5848242751227131E-5</v>
      </c>
      <c r="D12" s="3"/>
      <c r="E12" s="31" t="s">
        <v>42</v>
      </c>
      <c r="F12" s="32" t="s">
        <v>47</v>
      </c>
    </row>
    <row r="13" spans="1:9" x14ac:dyDescent="0.2">
      <c r="A13" s="12" t="s">
        <v>19</v>
      </c>
      <c r="B13" s="12"/>
      <c r="C13" s="3" t="s">
        <v>14</v>
      </c>
      <c r="D13" s="3"/>
      <c r="E13" s="33" t="s">
        <v>43</v>
      </c>
      <c r="F13" s="34">
        <v>1</v>
      </c>
    </row>
    <row r="14" spans="1:9" x14ac:dyDescent="0.2">
      <c r="A14" s="12"/>
      <c r="B14" s="12"/>
      <c r="C14" s="12"/>
      <c r="D14" s="12"/>
      <c r="E14" s="33" t="s">
        <v>32</v>
      </c>
      <c r="F14" s="35">
        <f ca="1">NOW()+15018.5+$C$9/24</f>
        <v>60517.767531481477</v>
      </c>
    </row>
    <row r="15" spans="1:9" x14ac:dyDescent="0.2">
      <c r="A15" s="14" t="s">
        <v>18</v>
      </c>
      <c r="B15" s="12"/>
      <c r="C15" s="15">
        <f ca="1">(C7+C11)+(C8+C12)*INT(MAX(F21:F3533))</f>
        <v>54954.634774444879</v>
      </c>
      <c r="D15" s="16" t="s">
        <v>32</v>
      </c>
      <c r="E15" s="33" t="s">
        <v>44</v>
      </c>
      <c r="F15" s="35">
        <f ca="1">ROUND(2*($F$14-$C$7)/$C$8,0)/2+$F$13</f>
        <v>2012.5</v>
      </c>
    </row>
    <row r="16" spans="1:9" x14ac:dyDescent="0.2">
      <c r="A16" s="17" t="s">
        <v>4</v>
      </c>
      <c r="B16" s="12"/>
      <c r="C16" s="18">
        <f ca="1">+C8+C12</f>
        <v>2.7659858482427513</v>
      </c>
      <c r="D16" s="16" t="s">
        <v>33</v>
      </c>
      <c r="E16" s="33" t="s">
        <v>33</v>
      </c>
      <c r="F16" s="35">
        <f ca="1">ROUND(2*($F$14-$C$15)/$C$16,0)/2+$F$13</f>
        <v>2012.5</v>
      </c>
    </row>
    <row r="17" spans="1:17" ht="13.5" thickBot="1" x14ac:dyDescent="0.25">
      <c r="A17" s="16" t="s">
        <v>29</v>
      </c>
      <c r="B17" s="12"/>
      <c r="C17" s="12">
        <f>COUNT(C21:C2191)</f>
        <v>6</v>
      </c>
      <c r="D17" s="16" t="s">
        <v>34</v>
      </c>
      <c r="E17" s="36" t="s">
        <v>45</v>
      </c>
      <c r="F17" s="37">
        <f ca="1">+$C$15+$C$16*$F$16-15018.5-$C$9/24</f>
        <v>45503.077127366756</v>
      </c>
    </row>
    <row r="18" spans="1:17" ht="14.25" thickTop="1" thickBot="1" x14ac:dyDescent="0.25">
      <c r="A18" s="17" t="s">
        <v>5</v>
      </c>
      <c r="B18" s="12"/>
      <c r="C18" s="19">
        <f ca="1">+C15</f>
        <v>54954.634774444879</v>
      </c>
      <c r="D18" s="20">
        <f ca="1">+C16</f>
        <v>2.7659858482427513</v>
      </c>
      <c r="E18" s="39" t="s">
        <v>46</v>
      </c>
      <c r="F18" s="38">
        <f ca="1">+($C$15+$C$16*$F$16)-($C$16/2)-15018.5-$C$9/24</f>
        <v>45501.694134442638</v>
      </c>
    </row>
    <row r="19" spans="1:17" ht="13.5" thickTop="1" x14ac:dyDescent="0.2">
      <c r="A19" s="24" t="s">
        <v>35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49</v>
      </c>
      <c r="J20" s="7" t="s">
        <v>41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s="27" customFormat="1" x14ac:dyDescent="0.2">
      <c r="A21" s="27" t="s">
        <v>12</v>
      </c>
      <c r="C21" s="28">
        <v>23921.654999999999</v>
      </c>
      <c r="D21" s="28" t="s">
        <v>14</v>
      </c>
      <c r="E21" s="27">
        <f t="shared" ref="E21:E26" si="0">+(C21-C$7)/C$8</f>
        <v>-11219.718864902583</v>
      </c>
      <c r="F21" s="27">
        <f t="shared" ref="F21:F26" si="1">ROUND(2*E21,0)/2</f>
        <v>-11219.5</v>
      </c>
      <c r="G21" s="27">
        <f t="shared" ref="G21:G26" si="2">+C21-(C$7+F21*C$8)</f>
        <v>-0.60536500000307569</v>
      </c>
      <c r="H21" s="27">
        <f>+G21</f>
        <v>-0.60536500000307569</v>
      </c>
      <c r="O21" s="27">
        <f t="shared" ref="O21:O26" ca="1" si="3">+C$11+C$12*$F21</f>
        <v>-0.60381491466810699</v>
      </c>
      <c r="Q21" s="29">
        <f t="shared" ref="Q21:Q26" si="4">+C21-15018.5</f>
        <v>8903.1549999999988</v>
      </c>
    </row>
    <row r="22" spans="1:17" s="27" customFormat="1" x14ac:dyDescent="0.2">
      <c r="A22" s="26" t="s">
        <v>39</v>
      </c>
      <c r="B22" s="26"/>
      <c r="C22" s="30">
        <v>52824.839</v>
      </c>
      <c r="D22" s="30">
        <v>2E-3</v>
      </c>
      <c r="E22" s="27">
        <f t="shared" si="0"/>
        <v>-770.0024946401395</v>
      </c>
      <c r="F22" s="27">
        <f t="shared" si="1"/>
        <v>-770</v>
      </c>
      <c r="G22" s="27">
        <f t="shared" si="2"/>
        <v>-6.9000000003143214E-3</v>
      </c>
      <c r="I22" s="27">
        <f>+G22</f>
        <v>-6.9000000003143214E-3</v>
      </c>
      <c r="O22" s="27">
        <f t="shared" ca="1" si="3"/>
        <v>-2.0228702039159031E-2</v>
      </c>
      <c r="Q22" s="29">
        <f t="shared" si="4"/>
        <v>37806.339</v>
      </c>
    </row>
    <row r="23" spans="1:17" s="27" customFormat="1" x14ac:dyDescent="0.2">
      <c r="A23" s="26" t="s">
        <v>39</v>
      </c>
      <c r="B23" s="26"/>
      <c r="C23" s="30">
        <v>53145.675999999999</v>
      </c>
      <c r="D23" s="30">
        <v>1E-3</v>
      </c>
      <c r="E23" s="27">
        <f t="shared" si="0"/>
        <v>-654.00642821763438</v>
      </c>
      <c r="F23" s="27">
        <f t="shared" si="1"/>
        <v>-654</v>
      </c>
      <c r="G23" s="27">
        <f t="shared" si="2"/>
        <v>-1.7780000001948792E-2</v>
      </c>
      <c r="I23" s="27">
        <f>+G23</f>
        <v>-1.7780000001948792E-2</v>
      </c>
      <c r="O23" s="27">
        <f t="shared" ca="1" si="3"/>
        <v>-1.3750305880016689E-2</v>
      </c>
      <c r="Q23" s="29">
        <f t="shared" si="4"/>
        <v>38127.175999999999</v>
      </c>
    </row>
    <row r="24" spans="1:17" s="27" customFormat="1" x14ac:dyDescent="0.2">
      <c r="A24" s="26" t="s">
        <v>39</v>
      </c>
      <c r="B24" s="26"/>
      <c r="C24" s="30">
        <v>53148.449000000001</v>
      </c>
      <c r="D24" s="30">
        <v>2E-3</v>
      </c>
      <c r="E24" s="27">
        <f t="shared" si="0"/>
        <v>-653.00387211534655</v>
      </c>
      <c r="F24" s="27">
        <f t="shared" si="1"/>
        <v>-653</v>
      </c>
      <c r="G24" s="27">
        <f t="shared" si="2"/>
        <v>-1.0710000002291054E-2</v>
      </c>
      <c r="I24" s="27">
        <f>+G24</f>
        <v>-1.0710000002291054E-2</v>
      </c>
      <c r="O24" s="27">
        <f t="shared" ca="1" si="3"/>
        <v>-1.3694457637265456E-2</v>
      </c>
      <c r="Q24" s="29">
        <f t="shared" si="4"/>
        <v>38129.949000000001</v>
      </c>
    </row>
    <row r="25" spans="1:17" s="27" customFormat="1" x14ac:dyDescent="0.2">
      <c r="A25" s="26" t="s">
        <v>39</v>
      </c>
      <c r="B25" s="26"/>
      <c r="C25" s="30">
        <v>53159.521999999997</v>
      </c>
      <c r="D25" s="30">
        <v>2E-3</v>
      </c>
      <c r="E25" s="27">
        <f t="shared" si="0"/>
        <v>-649.00051700513166</v>
      </c>
      <c r="F25" s="27">
        <f t="shared" si="1"/>
        <v>-649</v>
      </c>
      <c r="G25" s="27">
        <f t="shared" si="2"/>
        <v>-1.4300000038929284E-3</v>
      </c>
      <c r="I25" s="27">
        <f>+G25</f>
        <v>-1.4300000038929284E-3</v>
      </c>
      <c r="O25" s="27">
        <f t="shared" ca="1" si="3"/>
        <v>-1.3471064666260552E-2</v>
      </c>
      <c r="Q25" s="29">
        <f t="shared" si="4"/>
        <v>38141.021999999997</v>
      </c>
    </row>
    <row r="26" spans="1:17" s="27" customFormat="1" x14ac:dyDescent="0.2">
      <c r="A26" s="27" t="str">
        <f>$D$7</f>
        <v>VSX</v>
      </c>
      <c r="C26" s="28">
        <f>$C$7</f>
        <v>54954.612000000001</v>
      </c>
      <c r="D26" s="28"/>
      <c r="E26" s="27">
        <f t="shared" si="0"/>
        <v>0</v>
      </c>
      <c r="F26" s="27">
        <f t="shared" si="1"/>
        <v>0</v>
      </c>
      <c r="G26" s="27">
        <f t="shared" si="2"/>
        <v>0</v>
      </c>
      <c r="I26" s="27">
        <f>+G26</f>
        <v>0</v>
      </c>
      <c r="O26" s="27">
        <f t="shared" ca="1" si="3"/>
        <v>2.2774444879285857E-2</v>
      </c>
      <c r="Q26" s="29">
        <f t="shared" si="4"/>
        <v>39936.112000000001</v>
      </c>
    </row>
    <row r="27" spans="1:17" s="27" customFormat="1" x14ac:dyDescent="0.2">
      <c r="C27" s="28"/>
      <c r="D27" s="28"/>
      <c r="Q27" s="29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2024-07-26T06:25:14Z</dcterms:modified>
</cp:coreProperties>
</file>