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2E54663-199F-41DD-A3A0-A3AD785789D2}" xr6:coauthVersionLast="47" xr6:coauthVersionMax="47" xr10:uidLastSave="{00000000-0000-0000-0000-000000000000}"/>
  <bookViews>
    <workbookView xWindow="3000" yWindow="1680" windowWidth="13185" windowHeight="133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22" i="1"/>
  <c r="A22" i="1"/>
  <c r="F14" i="1"/>
  <c r="F11" i="1"/>
  <c r="Q23" i="1"/>
  <c r="E21" i="1"/>
  <c r="F21" i="1" s="1"/>
  <c r="G21" i="1" s="1"/>
  <c r="H21" i="1" s="1"/>
  <c r="G11" i="1"/>
  <c r="Q21" i="1"/>
  <c r="C17" i="1"/>
  <c r="E23" i="1"/>
  <c r="F23" i="1" s="1"/>
  <c r="G23" i="1" s="1"/>
  <c r="I23" i="1" s="1"/>
  <c r="C12" i="1"/>
  <c r="F15" i="1" l="1"/>
  <c r="C16" i="1"/>
  <c r="D18" i="1" s="1"/>
  <c r="C11" i="1"/>
  <c r="O22" i="1" l="1"/>
  <c r="O21" i="1"/>
  <c r="O23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<sst xmlns="http://schemas.openxmlformats.org/spreadsheetml/2006/main" count="54" uniqueCount="51">
  <si>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</si>
  <si>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</si>
  <si>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</si>
  <si>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</si>
  <si>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</si>
  <si>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</si>
  <si>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</si>
  <si>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</si>
  <si>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</si>
  <si>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</si>
  <si>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</si>
  <si>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</si>
  <si>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</si>
  <si>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</si>
  <si>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</si>
  <si>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</si>
  <si>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</si>
  <si>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</si>
  <si>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</si>
  <si>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</si>
  <si>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</si>
  <si>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</si>
  <si>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</si>
  <si>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</si>
  <si>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</si>
  <si>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</si>
  <si>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</si>
  <si>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</si>
  <si>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</si>
  <si>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</si>
  <si>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</si>
  <si>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</si>
  <si>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</si>
  <si>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</si>
  <si>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</si>
  <si>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</si>
  <si>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</si>
  <si>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DV Car / G6545-0762</t>
  </si>
  <si>
    <t>EA</t>
  </si>
  <si>
    <t>Car_DV.xls</t>
  </si>
  <si>
    <t>IBVS 5809</t>
  </si>
  <si>
    <t xml:space="preserve">Mag </t>
  </si>
  <si>
    <t>Add cycle</t>
  </si>
  <si>
    <t>Old Cycle</t>
  </si>
  <si>
    <t>Next ToM-P</t>
  </si>
  <si>
    <t>Next ToM-S</t>
  </si>
  <si>
    <t>10.5-11.1</t>
  </si>
  <si>
    <t>Note VSX Period</t>
  </si>
  <si>
    <t>VSX</t>
  </si>
  <si>
    <t>EA/KE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</si>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</sst>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5" fillId="0" borderId="0" xfId="0" applyFont="1" applyAlignment="1"/>
    <xf numFmtId="0" fontId="0" fillId="2" borderId="5" xfId="0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0" fontId="18" fillId="0" borderId="8" xfId="0" applyFont="1" applyBorder="1" applyAlignment="1"/>
    <xf numFmtId="0" fontId="17" fillId="0" borderId="8" xfId="0" applyFont="1" applyBorder="1" applyAlignment="1"/>
    <xf numFmtId="22" fontId="16" fillId="0" borderId="7" xfId="0" applyNumberFormat="1" applyFont="1" applyBorder="1" applyAlignment="1">
      <alignment horizontal="right" vertical="center"/>
    </xf>
    <xf numFmtId="22" fontId="17" fillId="0" borderId="8" xfId="0" applyNumberFormat="1" applyFont="1" applyBorder="1" applyAlignment="1"/>
    <xf numFmtId="22" fontId="17" fillId="0" borderId="9" xfId="0" applyNumberFormat="1" applyFont="1" applyBorder="1" applyAlignment="1"/>
    <xf numFmtId="0" fontId="16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DV Car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-16541.5</c:v>
                </c:pt>
                <c:pt idx="1">
                  <c:v>0</c:v>
                </c:pt>
                <c:pt idx="2">
                  <c:v>885.5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-0.33899500000188709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E5-427A-9215-1C246C54621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-16541.5</c:v>
                </c:pt>
                <c:pt idx="1">
                  <c:v>0</c:v>
                </c:pt>
                <c:pt idx="2">
                  <c:v>885.5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  <c:pt idx="2">
                  <c:v>-0.1596849999987171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E5-427A-9215-1C246C54621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-16541.5</c:v>
                </c:pt>
                <c:pt idx="1">
                  <c:v>0</c:v>
                </c:pt>
                <c:pt idx="2">
                  <c:v>885.5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E5-427A-9215-1C246C54621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-16541.5</c:v>
                </c:pt>
                <c:pt idx="1">
                  <c:v>0</c:v>
                </c:pt>
                <c:pt idx="2">
                  <c:v>885.5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E5-427A-9215-1C246C54621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-16541.5</c:v>
                </c:pt>
                <c:pt idx="1">
                  <c:v>0</c:v>
                </c:pt>
                <c:pt idx="2">
                  <c:v>885.5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E5-427A-9215-1C246C54621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-16541.5</c:v>
                </c:pt>
                <c:pt idx="1">
                  <c:v>0</c:v>
                </c:pt>
                <c:pt idx="2">
                  <c:v>885.5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E5-427A-9215-1C246C54621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-16541.5</c:v>
                </c:pt>
                <c:pt idx="1">
                  <c:v>0</c:v>
                </c:pt>
                <c:pt idx="2">
                  <c:v>885.5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E5-427A-9215-1C246C54621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-16541.5</c:v>
                </c:pt>
                <c:pt idx="1">
                  <c:v>0</c:v>
                </c:pt>
                <c:pt idx="2">
                  <c:v>885.5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-0.33448925756464115</c:v>
                </c:pt>
                <c:pt idx="1">
                  <c:v>-8.8674842974460807E-2</c:v>
                </c:pt>
                <c:pt idx="2">
                  <c:v>-7.5515899461502209E-2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E5-427A-9215-1C246C546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8884104"/>
        <c:axId val="1"/>
      </c:scatterChart>
      <c:valAx>
        <c:axId val="518884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8884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209550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C10CF87-1572-6D19-BF2B-66B10FB618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selection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37</v>
      </c>
      <c r="F1">
        <v>23840.321</v>
      </c>
      <c r="G1">
        <v>0.84050000000000002</v>
      </c>
      <c r="H1" t="s">
        <v>38</v>
      </c>
      <c r="I1" t="s">
        <v>39</v>
      </c>
    </row>
    <row r="2" spans="1:9" x14ac:dyDescent="0.2">
      <c r="A2" t="s">
        <v>25</v>
      </c>
      <c r="B2" s="29" t="s">
        <v>49</v>
      </c>
      <c r="C2" s="3"/>
      <c r="D2" s="3"/>
      <c r="E2" t="s">
        <v>39</v>
      </c>
    </row>
    <row r="3" spans="1:9" ht="13.5" thickBot="1" x14ac:dyDescent="0.25"/>
    <row r="4" spans="1:9" ht="14.25" thickTop="1" thickBot="1" x14ac:dyDescent="0.25">
      <c r="A4" s="5" t="s">
        <v>0</v>
      </c>
      <c r="C4" s="8">
        <v>23840.321</v>
      </c>
      <c r="D4" s="9">
        <v>0.84050000000000002</v>
      </c>
      <c r="E4" s="29" t="s">
        <v>47</v>
      </c>
    </row>
    <row r="6" spans="1:9" x14ac:dyDescent="0.2">
      <c r="A6" s="5" t="s">
        <v>1</v>
      </c>
    </row>
    <row r="7" spans="1:9" x14ac:dyDescent="0.2">
      <c r="A7" t="s">
        <v>2</v>
      </c>
      <c r="C7">
        <v>51654.696000000004</v>
      </c>
      <c r="D7" s="29" t="s">
        <v>48</v>
      </c>
    </row>
    <row r="8" spans="1:9" x14ac:dyDescent="0.2">
      <c r="A8" t="s">
        <v>3</v>
      </c>
      <c r="C8">
        <v>1.68147</v>
      </c>
      <c r="D8" s="29" t="s">
        <v>48</v>
      </c>
    </row>
    <row r="9" spans="1:9" x14ac:dyDescent="0.2">
      <c r="A9" s="11" t="s">
        <v>32</v>
      </c>
      <c r="B9" s="12"/>
      <c r="C9" s="13">
        <v>-9.5</v>
      </c>
      <c r="D9" s="12" t="s">
        <v>33</v>
      </c>
      <c r="E9" s="12"/>
    </row>
    <row r="10" spans="1:9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9" x14ac:dyDescent="0.2">
      <c r="A11" s="12" t="s">
        <v>16</v>
      </c>
      <c r="B11" s="12"/>
      <c r="C11" s="21">
        <f ca="1">INTERCEPT(INDIRECT($G$11):G992,INDIRECT($F$11):F992)</f>
        <v>-8.8674842974460807E-2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9" x14ac:dyDescent="0.2">
      <c r="A12" s="12" t="s">
        <v>17</v>
      </c>
      <c r="B12" s="12"/>
      <c r="C12" s="21">
        <f ca="1">SLOPE(INDIRECT($G$11):G992,INDIRECT($F$11):F992)</f>
        <v>1.4860466982449012E-5</v>
      </c>
      <c r="D12" s="3"/>
      <c r="E12" s="30" t="s">
        <v>41</v>
      </c>
      <c r="F12" s="31" t="s">
        <v>46</v>
      </c>
    </row>
    <row r="13" spans="1:9" x14ac:dyDescent="0.2">
      <c r="A13" s="12" t="s">
        <v>20</v>
      </c>
      <c r="B13" s="12"/>
      <c r="C13" s="3" t="s">
        <v>14</v>
      </c>
      <c r="D13" s="3"/>
      <c r="E13" s="32" t="s">
        <v>42</v>
      </c>
      <c r="F13" s="33">
        <v>1</v>
      </c>
    </row>
    <row r="14" spans="1:9" x14ac:dyDescent="0.2">
      <c r="A14" s="12"/>
      <c r="B14" s="12"/>
      <c r="C14" s="12"/>
      <c r="D14" s="12"/>
      <c r="E14" s="32" t="s">
        <v>34</v>
      </c>
      <c r="F14" s="34">
        <f ca="1">NOW()+15018.5+$C$9/24</f>
        <v>60518.616040277775</v>
      </c>
    </row>
    <row r="15" spans="1:9" x14ac:dyDescent="0.2">
      <c r="A15" s="14" t="s">
        <v>18</v>
      </c>
      <c r="B15" s="12"/>
      <c r="C15" s="15">
        <f ca="1">(C7+C11)+(C8+C12)*INT(MAX(F21:F3533))</f>
        <v>53142.721426670309</v>
      </c>
      <c r="D15" s="16"/>
      <c r="E15" s="32" t="s">
        <v>43</v>
      </c>
      <c r="F15" s="34">
        <f ca="1">ROUND(2*($F$14-$C$7)/$C$8,0)/2+$F$13</f>
        <v>5272.5</v>
      </c>
    </row>
    <row r="16" spans="1:9" x14ac:dyDescent="0.2">
      <c r="A16" s="17" t="s">
        <v>4</v>
      </c>
      <c r="B16" s="12"/>
      <c r="C16" s="18">
        <f ca="1">+C8+C12</f>
        <v>1.6814848604669825</v>
      </c>
      <c r="D16" s="16"/>
      <c r="E16" s="32" t="s">
        <v>35</v>
      </c>
      <c r="F16" s="34">
        <f ca="1">ROUND(2*($F$14-$C$15)/$C$16,0)/2+$F$13</f>
        <v>4387.5</v>
      </c>
    </row>
    <row r="17" spans="1:17" ht="13.5" thickBot="1" x14ac:dyDescent="0.25">
      <c r="A17" s="16" t="s">
        <v>31</v>
      </c>
      <c r="B17" s="12"/>
      <c r="C17" s="12">
        <f>COUNT(C21:C2191)</f>
        <v>3</v>
      </c>
      <c r="D17" s="16"/>
      <c r="E17" s="35" t="s">
        <v>44</v>
      </c>
      <c r="F17" s="36">
        <f ca="1">+$C$15+$C$16*$F$16-15018.5-$C$9/24</f>
        <v>45502.132085302532</v>
      </c>
    </row>
    <row r="18" spans="1:17" ht="14.25" thickTop="1" thickBot="1" x14ac:dyDescent="0.25">
      <c r="A18" s="17" t="s">
        <v>5</v>
      </c>
      <c r="B18" s="12"/>
      <c r="C18" s="19">
        <f ca="1">+C15</f>
        <v>53142.721426670309</v>
      </c>
      <c r="D18" s="20">
        <f ca="1">+C16</f>
        <v>1.6814848604669825</v>
      </c>
      <c r="E18" s="38" t="s">
        <v>45</v>
      </c>
      <c r="F18" s="37">
        <f ca="1">+($C$15+$C$16*$F$16)-($C$16/2)-15018.5-$C$9/24</f>
        <v>45501.291342872297</v>
      </c>
    </row>
    <row r="19" spans="1:17" ht="13.5" thickTop="1" x14ac:dyDescent="0.2">
      <c r="A19" s="24" t="s">
        <v>36</v>
      </c>
      <c r="E19" s="25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30</v>
      </c>
      <c r="I20" s="7" t="s">
        <v>50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t="s">
        <v>12</v>
      </c>
      <c r="C21" s="10">
        <v>23840.321</v>
      </c>
      <c r="D21" s="10" t="s">
        <v>14</v>
      </c>
      <c r="E21">
        <f>+(C21-C$7)/C$8</f>
        <v>-16541.701606332557</v>
      </c>
      <c r="F21">
        <f>ROUND(2*E21,0)/2</f>
        <v>-16541.5</v>
      </c>
      <c r="G21">
        <f>+C21-(C$7+F21*C$8)</f>
        <v>-0.33899500000188709</v>
      </c>
      <c r="H21">
        <f>+G21</f>
        <v>-0.33899500000188709</v>
      </c>
      <c r="O21">
        <f ca="1">+C$11+C$12*$F21</f>
        <v>-0.33448925756464115</v>
      </c>
      <c r="Q21" s="2">
        <f>+C21-15018.5</f>
        <v>8821.8209999999999</v>
      </c>
    </row>
    <row r="22" spans="1:17" x14ac:dyDescent="0.2">
      <c r="A22" t="str">
        <f>$D$7</f>
        <v>VSX</v>
      </c>
      <c r="C22" s="10">
        <f>$C$7</f>
        <v>51654.696000000004</v>
      </c>
      <c r="D22" s="10"/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-8.8674842974460807E-2</v>
      </c>
      <c r="Q22" s="2">
        <f>+C22-15018.5</f>
        <v>36636.196000000004</v>
      </c>
    </row>
    <row r="23" spans="1:17" x14ac:dyDescent="0.2">
      <c r="A23" s="26" t="s">
        <v>40</v>
      </c>
      <c r="B23" s="27"/>
      <c r="C23" s="28">
        <v>53143.478000000003</v>
      </c>
      <c r="D23" s="28">
        <v>2E-3</v>
      </c>
      <c r="E23">
        <f>+(C23-C$7)/C$8</f>
        <v>885.40503250132281</v>
      </c>
      <c r="F23">
        <f>ROUND(2*E23,0)/2</f>
        <v>885.5</v>
      </c>
      <c r="G23">
        <f>+C23-(C$7+F23*C$8)</f>
        <v>-0.1596849999987171</v>
      </c>
      <c r="I23">
        <f>+G23</f>
        <v>-0.1596849999987171</v>
      </c>
      <c r="O23">
        <f ca="1">+C$11+C$12*$F23</f>
        <v>-7.5515899461502209E-2</v>
      </c>
      <c r="Q23" s="2">
        <f>+C23-15018.5</f>
        <v>38124.978000000003</v>
      </c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ortState xmlns:xlrd2="http://schemas.microsoft.com/office/spreadsheetml/2017/richdata2" ref="A21:Q26">
    <sortCondition ref="C21:C26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2024-07-27T02:47:05Z</dcterms:modified>
</cp:coreProperties>
</file>