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6284B27-530D-45CE-BABB-01091E9EF5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22" i="1"/>
  <c r="C17" i="1" s="1"/>
  <c r="A22" i="1"/>
  <c r="E23" i="1"/>
  <c r="F23" i="1" s="1"/>
  <c r="G23" i="1" s="1"/>
  <c r="I23" i="1" s="1"/>
  <c r="E24" i="1"/>
  <c r="F24" i="1" s="1"/>
  <c r="G24" i="1" s="1"/>
  <c r="I24" i="1" s="1"/>
  <c r="E25" i="1"/>
  <c r="F25" i="1" s="1"/>
  <c r="G25" i="1" s="1"/>
  <c r="I25" i="1" s="1"/>
  <c r="G11" i="1"/>
  <c r="F11" i="1"/>
  <c r="Q23" i="1"/>
  <c r="Q24" i="1"/>
  <c r="Q25" i="1"/>
  <c r="E21" i="1"/>
  <c r="F21" i="1" s="1"/>
  <c r="G21" i="1" s="1"/>
  <c r="H21" i="1" s="1"/>
  <c r="H20" i="1"/>
  <c r="F14" i="1"/>
  <c r="F15" i="1" s="1"/>
  <c r="Q21" i="1"/>
  <c r="C11" i="1"/>
  <c r="C12" i="1"/>
  <c r="O22" i="1" l="1"/>
  <c r="S22" i="1" s="1"/>
  <c r="O25" i="1"/>
  <c r="S25" i="1" s="1"/>
  <c r="C16" i="1"/>
  <c r="D18" i="1" s="1"/>
  <c r="O23" i="1"/>
  <c r="S23" i="1" s="1"/>
  <c r="O21" i="1"/>
  <c r="S21" i="1" s="1"/>
  <c r="C15" i="1"/>
  <c r="O24" i="1"/>
  <c r="S24" i="1" s="1"/>
  <c r="S19" i="1" l="1"/>
  <c r="C18" i="1"/>
  <c r="F16" i="1"/>
  <c r="F18" i="1" s="1"/>
  <c r="F17" i="1" l="1"/>
</calcChain>
</file>

<file path=xl/sharedStrings.xml><?xml version="1.0" encoding="utf-8"?>
<sst xmlns="http://schemas.openxmlformats.org/spreadsheetml/2006/main" count="60" uniqueCount="54">
  <si>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</si>
  <si>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</si>
  <si>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</si>
  <si>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</si>
  <si>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</si>
  <si>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</si>
  <si>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</si>
  <si>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</si>
  <si>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</si>
  <si>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</si>
  <si>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</si>
  <si>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</si>
  <si>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</si>
  <si>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</si>
  <si>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</si>
  <si>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</si>
  <si>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</si>
  <si>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</si>
  <si>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</si>
  <si>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</si>
  <si>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</si>
  <si>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</si>
  <si>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</si>
  <si>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</si>
  <si>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</si>
  <si>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</si>
  <si>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</si>
  <si>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</si>
  <si>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</si>
  <si>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</si>
  <si>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</si>
  <si>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</si>
  <si>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</si>
  <si>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</si>
  <si>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</si>
  <si>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</si>
  <si>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Constell:</t>
  </si>
  <si>
    <t>GP Car</t>
  </si>
  <si>
    <t>EA</t>
  </si>
  <si>
    <t>Car</t>
  </si>
  <si>
    <t>Malkov</t>
  </si>
  <si>
    <t>GP Car / GSC 8613-2497</t>
  </si>
  <si>
    <t>Car_GP.xls</t>
  </si>
  <si>
    <t>VSS_2013-01-28</t>
  </si>
  <si>
    <t>II</t>
  </si>
  <si>
    <t>I</t>
  </si>
  <si>
    <t>G8613-2497</t>
  </si>
  <si>
    <t>CCD</t>
  </si>
  <si>
    <t xml:space="preserve">Mag </t>
  </si>
  <si>
    <t>11.45-11.83</t>
  </si>
  <si>
    <t>VSX</t>
  </si>
  <si>
    <t>S3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</si>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</sst>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/>
    <xf numFmtId="0" fontId="5" fillId="3" borderId="6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22" fontId="8" fillId="0" borderId="9" xfId="0" applyNumberFormat="1" applyFont="1" applyBorder="1" applyAlignment="1">
      <alignment vertical="center"/>
    </xf>
    <xf numFmtId="0" fontId="16" fillId="0" borderId="11" xfId="0" applyFont="1" applyBorder="1" applyAlignment="1">
      <alignment horizontal="right" vertical="center"/>
    </xf>
    <xf numFmtId="22" fontId="17" fillId="0" borderId="10" xfId="0" applyNumberFormat="1" applyFont="1" applyBorder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GP Car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-11616.5</c:v>
                </c:pt>
                <c:pt idx="1">
                  <c:v>0</c:v>
                </c:pt>
                <c:pt idx="2">
                  <c:v>1187.5</c:v>
                </c:pt>
                <c:pt idx="3">
                  <c:v>1216</c:v>
                </c:pt>
                <c:pt idx="4">
                  <c:v>1321.5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-0.21196199999758392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1A-46D9-B281-CF0A14E394C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-11616.5</c:v>
                </c:pt>
                <c:pt idx="1">
                  <c:v>0</c:v>
                </c:pt>
                <c:pt idx="2">
                  <c:v>1187.5</c:v>
                </c:pt>
                <c:pt idx="3">
                  <c:v>1216</c:v>
                </c:pt>
                <c:pt idx="4">
                  <c:v>1321.5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  <c:pt idx="2">
                  <c:v>9.7499999974388629E-3</c:v>
                </c:pt>
                <c:pt idx="3">
                  <c:v>-9.1519999987212941E-3</c:v>
                </c:pt>
                <c:pt idx="4">
                  <c:v>-2.5497999995423015E-2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1A-46D9-B281-CF0A14E394C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-11616.5</c:v>
                </c:pt>
                <c:pt idx="1">
                  <c:v>0</c:v>
                </c:pt>
                <c:pt idx="2">
                  <c:v>1187.5</c:v>
                </c:pt>
                <c:pt idx="3">
                  <c:v>1216</c:v>
                </c:pt>
                <c:pt idx="4">
                  <c:v>1321.5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1A-46D9-B281-CF0A14E394C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-11616.5</c:v>
                </c:pt>
                <c:pt idx="1">
                  <c:v>0</c:v>
                </c:pt>
                <c:pt idx="2">
                  <c:v>1187.5</c:v>
                </c:pt>
                <c:pt idx="3">
                  <c:v>1216</c:v>
                </c:pt>
                <c:pt idx="4">
                  <c:v>1321.5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1A-46D9-B281-CF0A14E394C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-11616.5</c:v>
                </c:pt>
                <c:pt idx="1">
                  <c:v>0</c:v>
                </c:pt>
                <c:pt idx="2">
                  <c:v>1187.5</c:v>
                </c:pt>
                <c:pt idx="3">
                  <c:v>1216</c:v>
                </c:pt>
                <c:pt idx="4">
                  <c:v>1321.5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1A-46D9-B281-CF0A14E394C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-11616.5</c:v>
                </c:pt>
                <c:pt idx="1">
                  <c:v>0</c:v>
                </c:pt>
                <c:pt idx="2">
                  <c:v>1187.5</c:v>
                </c:pt>
                <c:pt idx="3">
                  <c:v>1216</c:v>
                </c:pt>
                <c:pt idx="4">
                  <c:v>1321.5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1A-46D9-B281-CF0A14E394C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-11616.5</c:v>
                </c:pt>
                <c:pt idx="1">
                  <c:v>0</c:v>
                </c:pt>
                <c:pt idx="2">
                  <c:v>1187.5</c:v>
                </c:pt>
                <c:pt idx="3">
                  <c:v>1216</c:v>
                </c:pt>
                <c:pt idx="4">
                  <c:v>1321.5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1A-46D9-B281-CF0A14E394C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-11616.5</c:v>
                </c:pt>
                <c:pt idx="1">
                  <c:v>0</c:v>
                </c:pt>
                <c:pt idx="2">
                  <c:v>1187.5</c:v>
                </c:pt>
                <c:pt idx="3">
                  <c:v>1216</c:v>
                </c:pt>
                <c:pt idx="4">
                  <c:v>1321.5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0.10198993340572754</c:v>
                </c:pt>
                <c:pt idx="1">
                  <c:v>1.8063328480127164E-3</c:v>
                </c:pt>
                <c:pt idx="2">
                  <c:v>-8.4349640712216793E-3</c:v>
                </c:pt>
                <c:pt idx="3">
                  <c:v>-8.6807551972833043E-3</c:v>
                </c:pt>
                <c:pt idx="4">
                  <c:v>-9.5906135762131809E-3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1A-46D9-B281-CF0A14E394C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-11616.5</c:v>
                </c:pt>
                <c:pt idx="1">
                  <c:v>0</c:v>
                </c:pt>
                <c:pt idx="2">
                  <c:v>1187.5</c:v>
                </c:pt>
                <c:pt idx="3">
                  <c:v>1216</c:v>
                </c:pt>
                <c:pt idx="4">
                  <c:v>1321.5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1A-46D9-B281-CF0A14E39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629384"/>
        <c:axId val="1"/>
      </c:scatterChart>
      <c:valAx>
        <c:axId val="632629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629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GP Car - O-C Diagr.</a:t>
            </a:r>
          </a:p>
        </c:rich>
      </c:tx>
      <c:layout>
        <c:manualLayout>
          <c:xMode val="edge"/>
          <c:yMode val="edge"/>
          <c:x val="0.3873880179391990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1428144103299"/>
          <c:y val="0.14035127795846455"/>
          <c:w val="0.83934057007286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-11616.5</c:v>
                </c:pt>
                <c:pt idx="1">
                  <c:v>0</c:v>
                </c:pt>
                <c:pt idx="2">
                  <c:v>1187.5</c:v>
                </c:pt>
                <c:pt idx="3">
                  <c:v>1216</c:v>
                </c:pt>
                <c:pt idx="4">
                  <c:v>1321.5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-0.21196199999758392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6E-401A-B3B4-D715BEF664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-11616.5</c:v>
                </c:pt>
                <c:pt idx="1">
                  <c:v>0</c:v>
                </c:pt>
                <c:pt idx="2">
                  <c:v>1187.5</c:v>
                </c:pt>
                <c:pt idx="3">
                  <c:v>1216</c:v>
                </c:pt>
                <c:pt idx="4">
                  <c:v>1321.5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  <c:pt idx="2">
                  <c:v>9.7499999974388629E-3</c:v>
                </c:pt>
                <c:pt idx="3">
                  <c:v>-9.1519999987212941E-3</c:v>
                </c:pt>
                <c:pt idx="4">
                  <c:v>-2.5497999995423015E-2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6E-401A-B3B4-D715BEF664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-11616.5</c:v>
                </c:pt>
                <c:pt idx="1">
                  <c:v>0</c:v>
                </c:pt>
                <c:pt idx="2">
                  <c:v>1187.5</c:v>
                </c:pt>
                <c:pt idx="3">
                  <c:v>1216</c:v>
                </c:pt>
                <c:pt idx="4">
                  <c:v>1321.5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6E-401A-B3B4-D715BEF664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-11616.5</c:v>
                </c:pt>
                <c:pt idx="1">
                  <c:v>0</c:v>
                </c:pt>
                <c:pt idx="2">
                  <c:v>1187.5</c:v>
                </c:pt>
                <c:pt idx="3">
                  <c:v>1216</c:v>
                </c:pt>
                <c:pt idx="4">
                  <c:v>1321.5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6E-401A-B3B4-D715BEF664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-11616.5</c:v>
                </c:pt>
                <c:pt idx="1">
                  <c:v>0</c:v>
                </c:pt>
                <c:pt idx="2">
                  <c:v>1187.5</c:v>
                </c:pt>
                <c:pt idx="3">
                  <c:v>1216</c:v>
                </c:pt>
                <c:pt idx="4">
                  <c:v>1321.5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6E-401A-B3B4-D715BEF664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-11616.5</c:v>
                </c:pt>
                <c:pt idx="1">
                  <c:v>0</c:v>
                </c:pt>
                <c:pt idx="2">
                  <c:v>1187.5</c:v>
                </c:pt>
                <c:pt idx="3">
                  <c:v>1216</c:v>
                </c:pt>
                <c:pt idx="4">
                  <c:v>1321.5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6E-401A-B3B4-D715BEF664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-11616.5</c:v>
                </c:pt>
                <c:pt idx="1">
                  <c:v>0</c:v>
                </c:pt>
                <c:pt idx="2">
                  <c:v>1187.5</c:v>
                </c:pt>
                <c:pt idx="3">
                  <c:v>1216</c:v>
                </c:pt>
                <c:pt idx="4">
                  <c:v>1321.5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6E-401A-B3B4-D715BEF664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-11616.5</c:v>
                </c:pt>
                <c:pt idx="1">
                  <c:v>0</c:v>
                </c:pt>
                <c:pt idx="2">
                  <c:v>1187.5</c:v>
                </c:pt>
                <c:pt idx="3">
                  <c:v>1216</c:v>
                </c:pt>
                <c:pt idx="4">
                  <c:v>1321.5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0.10198993340572754</c:v>
                </c:pt>
                <c:pt idx="1">
                  <c:v>1.8063328480127164E-3</c:v>
                </c:pt>
                <c:pt idx="2">
                  <c:v>-8.4349640712216793E-3</c:v>
                </c:pt>
                <c:pt idx="3">
                  <c:v>-8.6807551972833043E-3</c:v>
                </c:pt>
                <c:pt idx="4">
                  <c:v>-9.5906135762131809E-3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6E-401A-B3B4-D715BEF664A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-11616.5</c:v>
                </c:pt>
                <c:pt idx="1">
                  <c:v>0</c:v>
                </c:pt>
                <c:pt idx="2">
                  <c:v>1187.5</c:v>
                </c:pt>
                <c:pt idx="3">
                  <c:v>1216</c:v>
                </c:pt>
                <c:pt idx="4">
                  <c:v>1321.5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C6E-401A-B3B4-D715BEF66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634424"/>
        <c:axId val="1"/>
      </c:scatterChart>
      <c:valAx>
        <c:axId val="63263442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0158032047795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634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6880029635935"/>
          <c:y val="0.92397937099967764"/>
          <c:w val="0.7462473497119166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1EB635B-07A2-D36B-E23E-68D7EBAC8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342900</xdr:colOff>
      <xdr:row>0</xdr:row>
      <xdr:rowOff>0</xdr:rowOff>
    </xdr:from>
    <xdr:to>
      <xdr:col>26</xdr:col>
      <xdr:colOff>514350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B5BBA9A5-C192-447C-C68C-BDA3FF89F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5.140625" customWidth="1"/>
    <col min="2" max="2" width="4.85546875" customWidth="1"/>
    <col min="3" max="3" width="11.85546875" customWidth="1"/>
    <col min="4" max="4" width="9.42578125" customWidth="1"/>
    <col min="5" max="5" width="11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  <c r="E1" t="s">
        <v>42</v>
      </c>
    </row>
    <row r="2" spans="1:7" x14ac:dyDescent="0.2">
      <c r="A2" t="s">
        <v>22</v>
      </c>
      <c r="B2" t="s">
        <v>38</v>
      </c>
      <c r="C2" s="28" t="s">
        <v>36</v>
      </c>
      <c r="D2" s="3" t="s">
        <v>39</v>
      </c>
      <c r="E2" s="29" t="s">
        <v>37</v>
      </c>
      <c r="F2" t="s">
        <v>46</v>
      </c>
    </row>
    <row r="3" spans="1:7" ht="13.5" thickBot="1" x14ac:dyDescent="0.25"/>
    <row r="4" spans="1:7" ht="14.25" thickTop="1" thickBot="1" x14ac:dyDescent="0.25">
      <c r="A4" s="34" t="s">
        <v>40</v>
      </c>
      <c r="C4" s="25">
        <v>24445.439999999999</v>
      </c>
      <c r="D4" s="26">
        <v>2.264192</v>
      </c>
    </row>
    <row r="6" spans="1:7" x14ac:dyDescent="0.2">
      <c r="A6" s="5" t="s">
        <v>0</v>
      </c>
    </row>
    <row r="7" spans="1:7" x14ac:dyDescent="0.2">
      <c r="A7" t="s">
        <v>1</v>
      </c>
      <c r="C7" s="33">
        <v>53070.705999999998</v>
      </c>
      <c r="D7" s="27" t="s">
        <v>50</v>
      </c>
    </row>
    <row r="8" spans="1:7" x14ac:dyDescent="0.2">
      <c r="A8" t="s">
        <v>2</v>
      </c>
      <c r="C8" s="33">
        <v>2.464172</v>
      </c>
      <c r="D8" s="27" t="s">
        <v>50</v>
      </c>
    </row>
    <row r="9" spans="1:7" x14ac:dyDescent="0.2">
      <c r="A9" s="9" t="s">
        <v>28</v>
      </c>
      <c r="B9" s="10"/>
      <c r="C9" s="11">
        <v>-9.5</v>
      </c>
      <c r="D9" s="10" t="s">
        <v>29</v>
      </c>
      <c r="E9" s="10"/>
    </row>
    <row r="10" spans="1:7" ht="13.5" thickBot="1" x14ac:dyDescent="0.25">
      <c r="A10" s="10"/>
      <c r="B10" s="10"/>
      <c r="C10" s="4" t="s">
        <v>18</v>
      </c>
      <c r="D10" s="4" t="s">
        <v>19</v>
      </c>
      <c r="E10" s="10"/>
    </row>
    <row r="11" spans="1:7" x14ac:dyDescent="0.2">
      <c r="A11" s="10" t="s">
        <v>14</v>
      </c>
      <c r="B11" s="10"/>
      <c r="C11" s="19">
        <f ca="1">INTERCEPT(INDIRECT($G$11):G992,INDIRECT($F$11):F992)</f>
        <v>1.8063328480127164E-3</v>
      </c>
      <c r="D11" s="3"/>
      <c r="E11" s="10"/>
      <c r="F11" s="20" t="str">
        <f>"F"&amp;E19</f>
        <v>F22</v>
      </c>
      <c r="G11" s="21" t="str">
        <f>"G"&amp;E19</f>
        <v>G22</v>
      </c>
    </row>
    <row r="12" spans="1:7" x14ac:dyDescent="0.2">
      <c r="A12" s="10" t="s">
        <v>15</v>
      </c>
      <c r="B12" s="10"/>
      <c r="C12" s="19">
        <f ca="1">SLOPE(INDIRECT($G$11):G992,INDIRECT($F$11):F992)</f>
        <v>-8.6242500372500167E-6</v>
      </c>
      <c r="D12" s="3"/>
      <c r="E12" s="35" t="s">
        <v>48</v>
      </c>
      <c r="F12" s="36" t="s">
        <v>49</v>
      </c>
    </row>
    <row r="13" spans="1:7" x14ac:dyDescent="0.2">
      <c r="A13" s="10" t="s">
        <v>17</v>
      </c>
      <c r="B13" s="10"/>
      <c r="C13" s="3" t="s">
        <v>12</v>
      </c>
      <c r="E13" s="37" t="s">
        <v>33</v>
      </c>
      <c r="F13" s="38">
        <v>1</v>
      </c>
    </row>
    <row r="14" spans="1:7" x14ac:dyDescent="0.2">
      <c r="A14" s="10"/>
      <c r="B14" s="10"/>
      <c r="C14" s="10"/>
      <c r="E14" s="37" t="s">
        <v>30</v>
      </c>
      <c r="F14" s="39">
        <f ca="1">NOW()+15018.5+$C$9/24</f>
        <v>60518.617937615738</v>
      </c>
    </row>
    <row r="15" spans="1:7" x14ac:dyDescent="0.2">
      <c r="A15" s="12" t="s">
        <v>16</v>
      </c>
      <c r="B15" s="10"/>
      <c r="C15" s="13">
        <f ca="1">(C7+C11)+(C8+C12)*INT(MAX(F21:F3533))</f>
        <v>56325.867625698549</v>
      </c>
      <c r="E15" s="37" t="s">
        <v>34</v>
      </c>
      <c r="F15" s="39">
        <f ca="1">ROUND(2*(F14-$C$7)/$C$8,0)/2+F13</f>
        <v>3023.5</v>
      </c>
    </row>
    <row r="16" spans="1:7" x14ac:dyDescent="0.2">
      <c r="A16" s="15" t="s">
        <v>3</v>
      </c>
      <c r="B16" s="10"/>
      <c r="C16" s="16">
        <f ca="1">+C8+C12</f>
        <v>2.4641633757499628</v>
      </c>
      <c r="E16" s="37" t="s">
        <v>35</v>
      </c>
      <c r="F16" s="40">
        <f ca="1">ROUND(2*(F14-$C$15)/$C$16,0)/2+F13</f>
        <v>1702.5</v>
      </c>
    </row>
    <row r="17" spans="1:19" ht="13.5" thickBot="1" x14ac:dyDescent="0.25">
      <c r="A17" s="14" t="s">
        <v>27</v>
      </c>
      <c r="B17" s="10"/>
      <c r="C17" s="10">
        <f>COUNT(C21:C2191)</f>
        <v>5</v>
      </c>
      <c r="E17" s="37" t="s">
        <v>52</v>
      </c>
      <c r="F17" s="41">
        <f ca="1">+$C$15+$C$16*$F$16-15018.5-$C$9/24</f>
        <v>45503.001606246195</v>
      </c>
    </row>
    <row r="18" spans="1:19" ht="14.25" thickTop="1" thickBot="1" x14ac:dyDescent="0.25">
      <c r="A18" s="15" t="s">
        <v>4</v>
      </c>
      <c r="B18" s="10"/>
      <c r="C18" s="17">
        <f ca="1">+C15</f>
        <v>56325.867625698549</v>
      </c>
      <c r="D18" s="18">
        <f ca="1">+C16</f>
        <v>2.4641633757499628</v>
      </c>
      <c r="E18" s="42" t="s">
        <v>53</v>
      </c>
      <c r="F18" s="43">
        <f ca="1">+($C$15+$C$16*$F$16)-($C$16/2)-15018.5-$C$9/24</f>
        <v>45501.769524558316</v>
      </c>
    </row>
    <row r="19" spans="1:19" ht="13.5" thickTop="1" x14ac:dyDescent="0.2">
      <c r="A19" s="22" t="s">
        <v>31</v>
      </c>
      <c r="E19" s="23">
        <v>22</v>
      </c>
      <c r="S19">
        <f ca="1">SQRT(SUM(S21:S50)/(COUNT(S21:S50)-1))</f>
        <v>0.15744287794194323</v>
      </c>
    </row>
    <row r="20" spans="1:19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tr">
        <f>A21</f>
        <v>Malkov</v>
      </c>
      <c r="I20" s="7" t="s">
        <v>47</v>
      </c>
      <c r="J20" s="7" t="s">
        <v>51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  <c r="R20" s="24" t="s">
        <v>32</v>
      </c>
    </row>
    <row r="21" spans="1:19" x14ac:dyDescent="0.2">
      <c r="A21" t="s">
        <v>40</v>
      </c>
      <c r="C21" s="8">
        <v>24445.439999999999</v>
      </c>
      <c r="D21" s="8" t="s">
        <v>12</v>
      </c>
      <c r="E21">
        <f>+(C21-C$7)/C$8</f>
        <v>-11616.58601753449</v>
      </c>
      <c r="F21">
        <f>ROUND(2*E21,0)/2</f>
        <v>-11616.5</v>
      </c>
      <c r="G21">
        <f>+C21-(C$7+F21*C$8)</f>
        <v>-0.21196199999758392</v>
      </c>
      <c r="H21">
        <f>+G21</f>
        <v>-0.21196199999758392</v>
      </c>
      <c r="O21">
        <f ca="1">+C$11+C$12*$F21</f>
        <v>0.10198993340572754</v>
      </c>
      <c r="Q21" s="2">
        <f>+C21-15018.5</f>
        <v>9426.9399999999987</v>
      </c>
      <c r="S21">
        <f ca="1">+(O21-G21)^2</f>
        <v>9.8565816487677316E-2</v>
      </c>
    </row>
    <row r="22" spans="1:19" x14ac:dyDescent="0.2">
      <c r="A22" t="str">
        <f>$D$7</f>
        <v>VSX</v>
      </c>
      <c r="C22" s="8">
        <f>$C$7</f>
        <v>53070.705999999998</v>
      </c>
      <c r="D22" s="8"/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1.8063328480127164E-3</v>
      </c>
      <c r="Q22" s="2">
        <f>+C22-15018.5</f>
        <v>38052.205999999998</v>
      </c>
      <c r="S22">
        <f ca="1">+(O22-G22)^2</f>
        <v>3.2628383578097309E-6</v>
      </c>
    </row>
    <row r="23" spans="1:19" x14ac:dyDescent="0.2">
      <c r="A23" s="30" t="s">
        <v>43</v>
      </c>
      <c r="B23" s="31" t="s">
        <v>44</v>
      </c>
      <c r="C23" s="32">
        <v>55996.92</v>
      </c>
      <c r="D23" s="32">
        <v>0.01</v>
      </c>
      <c r="E23">
        <f>+(C23-C$7)/C$8</f>
        <v>1187.5039567043209</v>
      </c>
      <c r="F23">
        <f>ROUND(2*E23,0)/2</f>
        <v>1187.5</v>
      </c>
      <c r="G23">
        <f>+C23-(C$7+F23*C$8)</f>
        <v>9.7499999974388629E-3</v>
      </c>
      <c r="I23">
        <f>+G23</f>
        <v>9.7499999974388629E-3</v>
      </c>
      <c r="O23">
        <f ca="1">+C$11+C$12*$F23</f>
        <v>-8.4349640712216793E-3</v>
      </c>
      <c r="Q23" s="2">
        <f>+C23-15018.5</f>
        <v>40978.42</v>
      </c>
      <c r="S23">
        <f ca="1">+(O23-G23)^2</f>
        <v>3.3069291817847493E-4</v>
      </c>
    </row>
    <row r="24" spans="1:19" x14ac:dyDescent="0.2">
      <c r="A24" s="30" t="s">
        <v>43</v>
      </c>
      <c r="B24" s="31" t="s">
        <v>45</v>
      </c>
      <c r="C24" s="32">
        <v>56067.13</v>
      </c>
      <c r="D24" s="32">
        <v>0.01</v>
      </c>
      <c r="E24">
        <f>+(C24-C$7)/C$8</f>
        <v>1215.9962859735438</v>
      </c>
      <c r="F24">
        <f>ROUND(2*E24,0)/2</f>
        <v>1216</v>
      </c>
      <c r="G24">
        <f>+C24-(C$7+F24*C$8)</f>
        <v>-9.1519999987212941E-3</v>
      </c>
      <c r="I24">
        <f>+G24</f>
        <v>-9.1519999987212941E-3</v>
      </c>
      <c r="O24">
        <f ca="1">+C$11+C$12*$F24</f>
        <v>-8.6807551972833043E-3</v>
      </c>
      <c r="Q24" s="2">
        <f>+C24-15018.5</f>
        <v>41048.629999999997</v>
      </c>
      <c r="S24">
        <f ca="1">+(O24-G24)^2</f>
        <v>2.2207166288233039E-7</v>
      </c>
    </row>
    <row r="25" spans="1:19" x14ac:dyDescent="0.2">
      <c r="A25" s="30" t="s">
        <v>43</v>
      </c>
      <c r="B25" s="31" t="s">
        <v>44</v>
      </c>
      <c r="C25" s="32">
        <v>56327.0838</v>
      </c>
      <c r="D25" s="32">
        <v>2.9999999999999997E-4</v>
      </c>
      <c r="E25">
        <f>+(C25-C$7)/C$8</f>
        <v>1321.4896525080237</v>
      </c>
      <c r="F25">
        <f>ROUND(2*E25,0)/2</f>
        <v>1321.5</v>
      </c>
      <c r="G25">
        <f>+C25-(C$7+F25*C$8)</f>
        <v>-2.5497999995423015E-2</v>
      </c>
      <c r="I25">
        <f>+G25</f>
        <v>-2.5497999995423015E-2</v>
      </c>
      <c r="O25">
        <f ca="1">+C$11+C$12*$F25</f>
        <v>-9.5906135762131809E-3</v>
      </c>
      <c r="Q25" s="2">
        <f>+C25-15018.5</f>
        <v>41308.5838</v>
      </c>
      <c r="S25">
        <f ca="1">+(O25-G25)^2</f>
        <v>2.5304494269006155E-4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T28">
    <sortCondition ref="C21:C28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2024-07-27T02:49:49Z</dcterms:modified>
</cp:coreProperties>
</file>