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80871C6-A06B-4CA8-8E73-EFFAAF92D5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I26" i="1" s="1"/>
  <c r="Q26" i="1"/>
  <c r="C26" i="1"/>
  <c r="A26" i="1"/>
  <c r="F14" i="1"/>
  <c r="E24" i="1"/>
  <c r="F24" i="1" s="1"/>
  <c r="G24" i="1" s="1"/>
  <c r="I24" i="1" s="1"/>
  <c r="G11" i="1"/>
  <c r="F11" i="1"/>
  <c r="Q22" i="1"/>
  <c r="Q23" i="1"/>
  <c r="Q24" i="1"/>
  <c r="Q25" i="1"/>
  <c r="E22" i="1"/>
  <c r="F22" i="1" s="1"/>
  <c r="G22" i="1" s="1"/>
  <c r="I22" i="1" s="1"/>
  <c r="E21" i="1"/>
  <c r="F21" i="1" s="1"/>
  <c r="G21" i="1" s="1"/>
  <c r="H21" i="1" s="1"/>
  <c r="C17" i="1"/>
  <c r="Q21" i="1"/>
  <c r="E23" i="1"/>
  <c r="F23" i="1" s="1"/>
  <c r="G23" i="1" s="1"/>
  <c r="I23" i="1" s="1"/>
  <c r="E25" i="1"/>
  <c r="F25" i="1"/>
  <c r="G25" i="1" s="1"/>
  <c r="I25" i="1" s="1"/>
  <c r="C12" i="1"/>
  <c r="F15" i="1" l="1"/>
  <c r="C16" i="1"/>
  <c r="D18" i="1" s="1"/>
  <c r="C11" i="1"/>
  <c r="O26" i="1" l="1"/>
  <c r="O24" i="1"/>
  <c r="C15" i="1"/>
  <c r="O22" i="1"/>
  <c r="O23" i="1"/>
  <c r="O25" i="1"/>
  <c r="O21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<sst xmlns="http://schemas.openxmlformats.org/spreadsheetml/2006/main" count="60" uniqueCount="51">
  <si>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</si>
  <si>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</si>
  <si>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</si>
  <si>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</si>
  <si>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</si>
  <si>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</si>
  <si>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</si>
  <si>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</si>
  <si>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</si>
  <si>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</si>
  <si>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</si>
  <si>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</si>
  <si>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</si>
  <si>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</si>
  <si>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</si>
  <si>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</si>
  <si>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</si>
  <si>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</si>
  <si>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</si>
  <si>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</si>
  <si>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</si>
  <si>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</si>
  <si>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</si>
  <si>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</si>
  <si>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</si>
  <si>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</si>
  <si>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</si>
  <si>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</si>
  <si>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</si>
  <si>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</si>
  <si>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</si>
  <si>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</si>
  <si>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</si>
  <si>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</si>
  <si>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</si>
  <si>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</si>
  <si>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5931</t>
  </si>
  <si>
    <t>I</t>
  </si>
  <si>
    <t>II</t>
  </si>
  <si>
    <t>EA/DM</t>
  </si>
  <si>
    <t>HP Car / GSC 8608-0862</t>
  </si>
  <si>
    <t>GCVS</t>
  </si>
  <si>
    <t>CCD</t>
  </si>
  <si>
    <t xml:space="preserve">Mag </t>
  </si>
  <si>
    <t>Add cycle</t>
  </si>
  <si>
    <t>Old Cycle</t>
  </si>
  <si>
    <t>Next ToM-P</t>
  </si>
  <si>
    <t>Next ToM-S</t>
  </si>
  <si>
    <t>8.80-9.28</t>
  </si>
  <si>
    <t>VSX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</si>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</sst>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/>
    <xf numFmtId="0" fontId="0" fillId="2" borderId="5" xfId="0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18" fillId="0" borderId="8" xfId="0" applyFont="1" applyBorder="1" applyAlignment="1"/>
    <xf numFmtId="0" fontId="17" fillId="0" borderId="8" xfId="0" applyFont="1" applyBorder="1" applyAlignment="1"/>
    <xf numFmtId="22" fontId="16" fillId="0" borderId="7" xfId="0" applyNumberFormat="1" applyFont="1" applyBorder="1" applyAlignment="1">
      <alignment horizontal="right" vertical="center"/>
    </xf>
    <xf numFmtId="22" fontId="17" fillId="0" borderId="8" xfId="0" applyNumberFormat="1" applyFont="1" applyBorder="1" applyAlignment="1"/>
    <xf numFmtId="22" fontId="17" fillId="0" borderId="9" xfId="0" applyNumberFormat="1" applyFont="1" applyBorder="1" applyAlignment="1"/>
    <xf numFmtId="0" fontId="16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HP Car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-18857.5</c:v>
                </c:pt>
                <c:pt idx="1">
                  <c:v>-1070</c:v>
                </c:pt>
                <c:pt idx="2">
                  <c:v>-861</c:v>
                </c:pt>
                <c:pt idx="3">
                  <c:v>-856.5</c:v>
                </c:pt>
                <c:pt idx="4">
                  <c:v>-216</c:v>
                </c:pt>
                <c:pt idx="5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3.21624999960477E-2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D6-4420-A138-BB7F8184ECA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-18857.5</c:v>
                </c:pt>
                <c:pt idx="1">
                  <c:v>-1070</c:v>
                </c:pt>
                <c:pt idx="2">
                  <c:v>-861</c:v>
                </c:pt>
                <c:pt idx="3">
                  <c:v>-856.5</c:v>
                </c:pt>
                <c:pt idx="4">
                  <c:v>-216</c:v>
                </c:pt>
                <c:pt idx="5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-6.3500000032945536E-3</c:v>
                </c:pt>
                <c:pt idx="2">
                  <c:v>-4.045000001497101E-3</c:v>
                </c:pt>
                <c:pt idx="3">
                  <c:v>-1.9925000015064143E-3</c:v>
                </c:pt>
                <c:pt idx="4">
                  <c:v>-1.3200000030337833E-3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D6-4420-A138-BB7F8184ECA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-18857.5</c:v>
                </c:pt>
                <c:pt idx="1">
                  <c:v>-1070</c:v>
                </c:pt>
                <c:pt idx="2">
                  <c:v>-861</c:v>
                </c:pt>
                <c:pt idx="3">
                  <c:v>-856.5</c:v>
                </c:pt>
                <c:pt idx="4">
                  <c:v>-216</c:v>
                </c:pt>
                <c:pt idx="5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D6-4420-A138-BB7F8184ECA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-18857.5</c:v>
                </c:pt>
                <c:pt idx="1">
                  <c:v>-1070</c:v>
                </c:pt>
                <c:pt idx="2">
                  <c:v>-861</c:v>
                </c:pt>
                <c:pt idx="3">
                  <c:v>-856.5</c:v>
                </c:pt>
                <c:pt idx="4">
                  <c:v>-216</c:v>
                </c:pt>
                <c:pt idx="5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D6-4420-A138-BB7F8184ECA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-18857.5</c:v>
                </c:pt>
                <c:pt idx="1">
                  <c:v>-1070</c:v>
                </c:pt>
                <c:pt idx="2">
                  <c:v>-861</c:v>
                </c:pt>
                <c:pt idx="3">
                  <c:v>-856.5</c:v>
                </c:pt>
                <c:pt idx="4">
                  <c:v>-216</c:v>
                </c:pt>
                <c:pt idx="5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D6-4420-A138-BB7F8184ECA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-18857.5</c:v>
                </c:pt>
                <c:pt idx="1">
                  <c:v>-1070</c:v>
                </c:pt>
                <c:pt idx="2">
                  <c:v>-861</c:v>
                </c:pt>
                <c:pt idx="3">
                  <c:v>-856.5</c:v>
                </c:pt>
                <c:pt idx="4">
                  <c:v>-216</c:v>
                </c:pt>
                <c:pt idx="5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D6-4420-A138-BB7F8184ECA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-18857.5</c:v>
                </c:pt>
                <c:pt idx="1">
                  <c:v>-1070</c:v>
                </c:pt>
                <c:pt idx="2">
                  <c:v>-861</c:v>
                </c:pt>
                <c:pt idx="3">
                  <c:v>-856.5</c:v>
                </c:pt>
                <c:pt idx="4">
                  <c:v>-216</c:v>
                </c:pt>
                <c:pt idx="5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D6-4420-A138-BB7F8184ECA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-18857.5</c:v>
                </c:pt>
                <c:pt idx="1">
                  <c:v>-1070</c:v>
                </c:pt>
                <c:pt idx="2">
                  <c:v>-861</c:v>
                </c:pt>
                <c:pt idx="3">
                  <c:v>-856.5</c:v>
                </c:pt>
                <c:pt idx="4">
                  <c:v>-216</c:v>
                </c:pt>
                <c:pt idx="5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3.1852162494012792E-2</c:v>
                </c:pt>
                <c:pt idx="1">
                  <c:v>-1.791780912387094E-3</c:v>
                </c:pt>
                <c:pt idx="2">
                  <c:v>-2.1870913366703027E-3</c:v>
                </c:pt>
                <c:pt idx="3">
                  <c:v>-2.1956028051357307E-3</c:v>
                </c:pt>
                <c:pt idx="4">
                  <c:v>-3.4070684833816408E-3</c:v>
                </c:pt>
                <c:pt idx="5">
                  <c:v>-3.8156189697221821E-3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D6-4420-A138-BB7F8184E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963416"/>
        <c:axId val="1"/>
      </c:scatterChart>
      <c:valAx>
        <c:axId val="739963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963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C0FE3C0-4F6B-D901-27AA-AB2AA67DE5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42578125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40</v>
      </c>
    </row>
    <row r="2" spans="1:7">
      <c r="A2" t="s">
        <v>24</v>
      </c>
      <c r="B2" t="s">
        <v>39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24348.182000000001</v>
      </c>
      <c r="D4" s="9">
        <v>1.6004464</v>
      </c>
    </row>
    <row r="6" spans="1:7">
      <c r="A6" s="5" t="s">
        <v>1</v>
      </c>
    </row>
    <row r="7" spans="1:7">
      <c r="A7" t="s">
        <v>2</v>
      </c>
      <c r="C7">
        <v>54528.73</v>
      </c>
      <c r="D7" s="29" t="s">
        <v>49</v>
      </c>
    </row>
    <row r="8" spans="1:7">
      <c r="A8" t="s">
        <v>3</v>
      </c>
      <c r="C8">
        <v>1.600455</v>
      </c>
      <c r="D8" s="29" t="s">
        <v>49</v>
      </c>
    </row>
    <row r="9" spans="1:7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>
      <c r="A10" s="12"/>
      <c r="B10" s="12"/>
      <c r="C10" s="4" t="s">
        <v>20</v>
      </c>
      <c r="D10" s="4" t="s">
        <v>21</v>
      </c>
      <c r="E10" s="12"/>
    </row>
    <row r="11" spans="1:7">
      <c r="A11" s="12" t="s">
        <v>16</v>
      </c>
      <c r="B11" s="12"/>
      <c r="C11" s="21">
        <f ca="1">INTERCEPT(INDIRECT($G$11):G992,INDIRECT($F$11):F992)</f>
        <v>-3.8156189697221821E-3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>
      <c r="A12" s="12" t="s">
        <v>17</v>
      </c>
      <c r="B12" s="12"/>
      <c r="C12" s="21">
        <f ca="1">SLOPE(INDIRECT($G$11):G992,INDIRECT($F$11):F992)</f>
        <v>-1.8914374367617648E-6</v>
      </c>
      <c r="D12" s="3"/>
      <c r="E12" s="30" t="s">
        <v>43</v>
      </c>
      <c r="F12" s="31" t="s">
        <v>48</v>
      </c>
    </row>
    <row r="13" spans="1:7">
      <c r="A13" s="12" t="s">
        <v>19</v>
      </c>
      <c r="B13" s="12"/>
      <c r="C13" s="3" t="s">
        <v>14</v>
      </c>
      <c r="D13" s="3"/>
      <c r="E13" s="32" t="s">
        <v>44</v>
      </c>
      <c r="F13" s="33">
        <v>1</v>
      </c>
    </row>
    <row r="14" spans="1:7">
      <c r="A14" s="12"/>
      <c r="B14" s="12"/>
      <c r="C14" s="12"/>
      <c r="D14" s="12"/>
      <c r="E14" s="32" t="s">
        <v>32</v>
      </c>
      <c r="F14" s="34">
        <f ca="1">NOW()+15018.5+$C$9/24</f>
        <v>60518.618460995371</v>
      </c>
    </row>
    <row r="15" spans="1:7">
      <c r="A15" s="14" t="s">
        <v>18</v>
      </c>
      <c r="B15" s="12"/>
      <c r="C15" s="15">
        <f ca="1">(C7+C11)+(C8+C12)*INT(MAX(F21:F3533))</f>
        <v>54528.726184381034</v>
      </c>
      <c r="D15" s="16" t="s">
        <v>32</v>
      </c>
      <c r="E15" s="32" t="s">
        <v>45</v>
      </c>
      <c r="F15" s="34">
        <f ca="1">ROUND(2*($F$14-$C$7)/$C$8,0)/2+$F$13</f>
        <v>3743.5</v>
      </c>
    </row>
    <row r="16" spans="1:7">
      <c r="A16" s="17" t="s">
        <v>4</v>
      </c>
      <c r="B16" s="12"/>
      <c r="C16" s="18">
        <f ca="1">+C8+C12</f>
        <v>1.6004531085625633</v>
      </c>
      <c r="D16" s="16" t="s">
        <v>33</v>
      </c>
      <c r="E16" s="32" t="s">
        <v>33</v>
      </c>
      <c r="F16" s="34">
        <f ca="1">ROUND(2*($F$14-$C$15)/$C$16,0)/2+$F$13</f>
        <v>3743.5</v>
      </c>
    </row>
    <row r="17" spans="1:17" ht="13.5" thickBot="1">
      <c r="A17" s="16" t="s">
        <v>29</v>
      </c>
      <c r="B17" s="12"/>
      <c r="C17" s="12">
        <f>COUNT(C21:C2191)</f>
        <v>6</v>
      </c>
      <c r="D17" s="16" t="s">
        <v>34</v>
      </c>
      <c r="E17" s="35" t="s">
        <v>46</v>
      </c>
      <c r="F17" s="36">
        <f ca="1">+$C$15+$C$16*$F$16-15018.5-$C$9/24</f>
        <v>45501.918229618328</v>
      </c>
    </row>
    <row r="18" spans="1:17" ht="14.25" thickTop="1" thickBot="1">
      <c r="A18" s="17" t="s">
        <v>5</v>
      </c>
      <c r="B18" s="12"/>
      <c r="C18" s="19">
        <f ca="1">+C15</f>
        <v>54528.726184381034</v>
      </c>
      <c r="D18" s="20">
        <f ca="1">+C16</f>
        <v>1.6004531085625633</v>
      </c>
      <c r="E18" s="38" t="s">
        <v>47</v>
      </c>
      <c r="F18" s="37">
        <f ca="1">+($C$15+$C$16*$F$16)-($C$16/2)-15018.5-$C$9/24</f>
        <v>45501.118003064046</v>
      </c>
    </row>
    <row r="19" spans="1:17" ht="13.5" thickTop="1">
      <c r="A19" s="24" t="s">
        <v>35</v>
      </c>
      <c r="E19" s="25">
        <v>21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50</v>
      </c>
      <c r="J20" s="7" t="s">
        <v>42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>
      <c r="A21" t="s">
        <v>12</v>
      </c>
      <c r="C21" s="10">
        <v>24348.182000000001</v>
      </c>
      <c r="D21" s="10" t="s">
        <v>14</v>
      </c>
      <c r="E21">
        <f t="shared" ref="E21:E26" si="0">+(C21-C$7)/C$8</f>
        <v>-18857.47990415226</v>
      </c>
      <c r="F21">
        <f t="shared" ref="F21:F26" si="1">ROUND(2*E21,0)/2</f>
        <v>-18857.5</v>
      </c>
      <c r="G21">
        <f t="shared" ref="G21:G26" si="2">+C21-(C$7+F21*C$8)</f>
        <v>3.21624999960477E-2</v>
      </c>
      <c r="H21">
        <f>+G21</f>
        <v>3.21624999960477E-2</v>
      </c>
      <c r="O21">
        <f t="shared" ref="O21:O26" ca="1" si="3">+C$11+C$12*$F21</f>
        <v>3.1852162494012792E-2</v>
      </c>
      <c r="Q21" s="2">
        <f t="shared" ref="Q21:Q26" si="4">+C21-15018.5</f>
        <v>9329.6820000000007</v>
      </c>
    </row>
    <row r="22" spans="1:17">
      <c r="A22" s="26" t="s">
        <v>36</v>
      </c>
      <c r="B22" s="27" t="s">
        <v>37</v>
      </c>
      <c r="C22" s="28">
        <v>52816.236799999999</v>
      </c>
      <c r="D22" s="28">
        <v>2.3999999999999998E-3</v>
      </c>
      <c r="E22">
        <f t="shared" si="0"/>
        <v>-1070.0039676217104</v>
      </c>
      <c r="F22">
        <f t="shared" si="1"/>
        <v>-1070</v>
      </c>
      <c r="G22">
        <f t="shared" si="2"/>
        <v>-6.3500000032945536E-3</v>
      </c>
      <c r="I22">
        <f>+G22</f>
        <v>-6.3500000032945536E-3</v>
      </c>
      <c r="O22">
        <f t="shared" ca="1" si="3"/>
        <v>-1.791780912387094E-3</v>
      </c>
      <c r="Q22" s="2">
        <f t="shared" si="4"/>
        <v>37797.736799999999</v>
      </c>
    </row>
    <row r="23" spans="1:17">
      <c r="A23" s="26" t="s">
        <v>36</v>
      </c>
      <c r="B23" s="27" t="s">
        <v>37</v>
      </c>
      <c r="C23" s="28">
        <v>53150.734199999999</v>
      </c>
      <c r="D23" s="28">
        <v>1.9E-3</v>
      </c>
      <c r="E23">
        <f t="shared" si="0"/>
        <v>-861.0025274062715</v>
      </c>
      <c r="F23">
        <f t="shared" si="1"/>
        <v>-861</v>
      </c>
      <c r="G23">
        <f t="shared" si="2"/>
        <v>-4.045000001497101E-3</v>
      </c>
      <c r="I23">
        <f>+G23</f>
        <v>-4.045000001497101E-3</v>
      </c>
      <c r="O23">
        <f t="shared" ca="1" si="3"/>
        <v>-2.1870913366703027E-3</v>
      </c>
      <c r="Q23" s="2">
        <f t="shared" si="4"/>
        <v>38132.234199999999</v>
      </c>
    </row>
    <row r="24" spans="1:17">
      <c r="A24" s="26" t="s">
        <v>36</v>
      </c>
      <c r="B24" s="27" t="s">
        <v>38</v>
      </c>
      <c r="C24" s="28">
        <v>53157.938300000002</v>
      </c>
      <c r="D24" s="28">
        <v>6.1000000000000004E-3</v>
      </c>
      <c r="E24">
        <f t="shared" si="0"/>
        <v>-856.50124495846592</v>
      </c>
      <c r="F24">
        <f t="shared" si="1"/>
        <v>-856.5</v>
      </c>
      <c r="G24">
        <f t="shared" si="2"/>
        <v>-1.9925000015064143E-3</v>
      </c>
      <c r="I24">
        <f>+G24</f>
        <v>-1.9925000015064143E-3</v>
      </c>
      <c r="O24">
        <f t="shared" ca="1" si="3"/>
        <v>-2.1956028051357307E-3</v>
      </c>
      <c r="Q24" s="2">
        <f t="shared" si="4"/>
        <v>38139.438300000002</v>
      </c>
    </row>
    <row r="25" spans="1:17">
      <c r="A25" s="26" t="s">
        <v>36</v>
      </c>
      <c r="B25" s="27" t="s">
        <v>37</v>
      </c>
      <c r="C25" s="28">
        <v>54183.030400000003</v>
      </c>
      <c r="D25" s="28">
        <v>2E-3</v>
      </c>
      <c r="E25">
        <f t="shared" si="0"/>
        <v>-216.00082476545728</v>
      </c>
      <c r="F25">
        <f t="shared" si="1"/>
        <v>-216</v>
      </c>
      <c r="G25">
        <f t="shared" si="2"/>
        <v>-1.3200000030337833E-3</v>
      </c>
      <c r="I25">
        <f>+G25</f>
        <v>-1.3200000030337833E-3</v>
      </c>
      <c r="O25">
        <f t="shared" ca="1" si="3"/>
        <v>-3.4070684833816408E-3</v>
      </c>
      <c r="Q25" s="2">
        <f t="shared" si="4"/>
        <v>39164.530400000003</v>
      </c>
    </row>
    <row r="26" spans="1:17">
      <c r="A26" t="str">
        <f>$D$7</f>
        <v>VSX</v>
      </c>
      <c r="C26" s="10">
        <f>$C$7</f>
        <v>54528.73</v>
      </c>
      <c r="D26" s="10"/>
      <c r="E26">
        <f t="shared" si="0"/>
        <v>0</v>
      </c>
      <c r="F26">
        <f t="shared" si="1"/>
        <v>0</v>
      </c>
      <c r="G26">
        <f t="shared" si="2"/>
        <v>0</v>
      </c>
      <c r="I26">
        <f>+G26</f>
        <v>0</v>
      </c>
      <c r="O26">
        <f t="shared" ca="1" si="3"/>
        <v>-3.8156189697221821E-3</v>
      </c>
      <c r="Q26" s="2">
        <f t="shared" si="4"/>
        <v>39510.230000000003</v>
      </c>
    </row>
    <row r="27" spans="1:17">
      <c r="C27" s="10"/>
      <c r="D27" s="10"/>
      <c r="Q27" s="2"/>
    </row>
    <row r="28" spans="1:17">
      <c r="C28" s="10"/>
      <c r="D28" s="10"/>
      <c r="Q28" s="2"/>
    </row>
    <row r="29" spans="1:17">
      <c r="C29" s="10"/>
      <c r="D29" s="10"/>
      <c r="Q29" s="2"/>
    </row>
    <row r="30" spans="1:17">
      <c r="C30" s="10"/>
      <c r="D30" s="10"/>
      <c r="Q30" s="2"/>
    </row>
    <row r="31" spans="1:17">
      <c r="C31" s="10"/>
      <c r="D31" s="10"/>
      <c r="Q31" s="2"/>
    </row>
    <row r="32" spans="1:17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2024-07-27T02:50:35Z</dcterms:modified>
</cp:coreProperties>
</file>