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386252C-C4E4-4485-85E2-A49BAB53D6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C23" i="1"/>
  <c r="A23" i="1"/>
  <c r="E9" i="1"/>
  <c r="D9" i="1"/>
  <c r="Q21" i="1"/>
  <c r="Q24" i="1"/>
  <c r="H20" i="1"/>
  <c r="F14" i="1"/>
  <c r="C17" i="1"/>
  <c r="E24" i="1"/>
  <c r="F24" i="1" s="1"/>
  <c r="G24" i="1" s="1"/>
  <c r="J24" i="1" s="1"/>
  <c r="Q22" i="1"/>
  <c r="E22" i="1"/>
  <c r="F22" i="1" s="1"/>
  <c r="G22" i="1" s="1"/>
  <c r="I22" i="1" s="1"/>
  <c r="E21" i="1"/>
  <c r="F21" i="1" s="1"/>
  <c r="G21" i="1" s="1"/>
  <c r="H21" i="1" s="1"/>
  <c r="C12" i="1"/>
  <c r="C11" i="1"/>
  <c r="O23" i="1" l="1"/>
  <c r="C16" i="1"/>
  <c r="D18" i="1" s="1"/>
  <c r="O24" i="1"/>
  <c r="C15" i="1"/>
  <c r="O21" i="1"/>
  <c r="O22" i="1"/>
  <c r="F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<sst xmlns="http://schemas.openxmlformats.org/spreadsheetml/2006/main" count="58" uniqueCount="54">
  <si>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</si>
  <si>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</si>
  <si>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</si>
  <si>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</si>
  <si>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</si>
  <si>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</si>
  <si>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</si>
  <si>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</si>
  <si>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</si>
  <si>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</si>
  <si>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</si>
  <si>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</si>
  <si>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</si>
  <si>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</si>
  <si>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</si>
  <si>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</si>
  <si>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</si>
  <si>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</si>
  <si>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</si>
  <si>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</si>
  <si>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</si>
  <si>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</si>
  <si>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</si>
  <si>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</si>
  <si>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</si>
  <si>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</si>
  <si>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</si>
  <si>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</si>
  <si>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</si>
  <si>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</si>
  <si>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</si>
  <si>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</si>
  <si>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</si>
  <si>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</si>
  <si>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</si>
  <si>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</si>
  <si>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</si>
  <si>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QR Car</t>
  </si>
  <si>
    <t>G8954-0066</t>
  </si>
  <si>
    <t>EB/KE</t>
  </si>
  <si>
    <t>pr_0</t>
  </si>
  <si>
    <t xml:space="preserve">A3               </t>
  </si>
  <si>
    <t>Kreiner</t>
  </si>
  <si>
    <t>GCVS 4</t>
  </si>
  <si>
    <t>Pavlov 2015, pc</t>
  </si>
  <si>
    <t>I</t>
  </si>
  <si>
    <t>CCD</t>
  </si>
  <si>
    <t>QR Car / GSC 8954-0066</t>
  </si>
  <si>
    <t xml:space="preserve">Mag </t>
  </si>
  <si>
    <t>9.4-10.1</t>
  </si>
  <si>
    <t>Next ToM-P</t>
  </si>
  <si>
    <t>Next Tom-S</t>
  </si>
  <si>
    <t>VSX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</si>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</sst>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5" fillId="0" borderId="1" xfId="0" applyFont="1" applyBorder="1" applyAlignment="1">
      <alignment vertical="center"/>
    </xf>
    <xf numFmtId="0" fontId="5" fillId="4" borderId="6" xfId="0" applyNumberFormat="1" applyFont="1" applyFill="1" applyBorder="1" applyAlignment="1">
      <alignment horizontal="right" vertical="center"/>
    </xf>
    <xf numFmtId="0" fontId="5" fillId="4" borderId="7" xfId="0" applyNumberFormat="1" applyFont="1" applyFill="1" applyBorder="1" applyAlignment="1">
      <alignment horizontal="center" vertical="center"/>
    </xf>
    <xf numFmtId="0" fontId="20" fillId="0" borderId="8" xfId="0" applyNumberFormat="1" applyFont="1" applyBorder="1" applyAlignment="1">
      <alignment horizontal="right" vertical="center"/>
    </xf>
    <xf numFmtId="0" fontId="12" fillId="0" borderId="9" xfId="0" applyNumberFormat="1" applyFont="1" applyBorder="1" applyAlignment="1">
      <alignment horizontal="right" vertical="center"/>
    </xf>
    <xf numFmtId="0" fontId="9" fillId="0" borderId="9" xfId="0" applyNumberFormat="1" applyFont="1" applyBorder="1" applyAlignment="1">
      <alignment horizontal="right" vertical="center"/>
    </xf>
    <xf numFmtId="0" fontId="8" fillId="0" borderId="9" xfId="0" applyNumberFormat="1" applyFont="1" applyBorder="1" applyAlignment="1">
      <alignment horizontal="right" vertical="center"/>
    </xf>
    <xf numFmtId="0" fontId="21" fillId="0" borderId="10" xfId="0" applyNumberFormat="1" applyFont="1" applyBorder="1" applyAlignment="1">
      <alignment horizontal="right" vertical="center"/>
    </xf>
    <xf numFmtId="0" fontId="20" fillId="0" borderId="11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QR Car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-21441.5</c:v>
                </c:pt>
                <c:pt idx="1">
                  <c:v>-334</c:v>
                </c:pt>
                <c:pt idx="2">
                  <c:v>0</c:v>
                </c:pt>
                <c:pt idx="3">
                  <c:v>5876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0.31870749999507098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E6-46DF-B54B-E15FDAF8DD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-21441.5</c:v>
                </c:pt>
                <c:pt idx="1">
                  <c:v>-334</c:v>
                </c:pt>
                <c:pt idx="2">
                  <c:v>0</c:v>
                </c:pt>
                <c:pt idx="3">
                  <c:v>5876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-3.3000000257743523E-4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E6-46DF-B54B-E15FDAF8DD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-21441.5</c:v>
                </c:pt>
                <c:pt idx="1">
                  <c:v>-334</c:v>
                </c:pt>
                <c:pt idx="2">
                  <c:v>0</c:v>
                </c:pt>
                <c:pt idx="3">
                  <c:v>5876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-1.8880000003264286E-2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E6-46DF-B54B-E15FDAF8DD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-21441.5</c:v>
                </c:pt>
                <c:pt idx="1">
                  <c:v>-334</c:v>
                </c:pt>
                <c:pt idx="2">
                  <c:v>0</c:v>
                </c:pt>
                <c:pt idx="3">
                  <c:v>5876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E6-46DF-B54B-E15FDAF8DD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-21441.5</c:v>
                </c:pt>
                <c:pt idx="1">
                  <c:v>-334</c:v>
                </c:pt>
                <c:pt idx="2">
                  <c:v>0</c:v>
                </c:pt>
                <c:pt idx="3">
                  <c:v>5876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E6-46DF-B54B-E15FDAF8DD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-21441.5</c:v>
                </c:pt>
                <c:pt idx="1">
                  <c:v>-334</c:v>
                </c:pt>
                <c:pt idx="2">
                  <c:v>0</c:v>
                </c:pt>
                <c:pt idx="3">
                  <c:v>5876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E6-46DF-B54B-E15FDAF8DD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-21441.5</c:v>
                </c:pt>
                <c:pt idx="1">
                  <c:v>-334</c:v>
                </c:pt>
                <c:pt idx="2">
                  <c:v>0</c:v>
                </c:pt>
                <c:pt idx="3">
                  <c:v>5876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E6-46DF-B54B-E15FDAF8DD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-21441.5</c:v>
                </c:pt>
                <c:pt idx="1">
                  <c:v>-334</c:v>
                </c:pt>
                <c:pt idx="2">
                  <c:v>0</c:v>
                </c:pt>
                <c:pt idx="3">
                  <c:v>5876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0.3079606358271274</c:v>
                </c:pt>
                <c:pt idx="1">
                  <c:v>2.62881174977176E-2</c:v>
                </c:pt>
                <c:pt idx="2">
                  <c:v>2.1830999358571662E-2</c:v>
                </c:pt>
                <c:pt idx="3">
                  <c:v>-5.6582252694187402E-2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E6-46DF-B54B-E15FDAF8DD9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-21441.5</c:v>
                </c:pt>
                <c:pt idx="1">
                  <c:v>-334</c:v>
                </c:pt>
                <c:pt idx="2">
                  <c:v>0</c:v>
                </c:pt>
                <c:pt idx="3">
                  <c:v>5876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E6-46DF-B54B-E15FDAF8D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97696"/>
        <c:axId val="1"/>
      </c:scatterChart>
      <c:valAx>
        <c:axId val="39599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997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96992481203006"/>
          <c:y val="0.92397937099967764"/>
          <c:w val="0.7593984962406015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6B1ED23-90A6-4CFE-581E-866A9FACD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9" ht="20.25" x14ac:dyDescent="0.3">
      <c r="A1" s="1" t="s">
        <v>47</v>
      </c>
      <c r="F1" s="29" t="s">
        <v>37</v>
      </c>
      <c r="G1" s="30">
        <v>0</v>
      </c>
      <c r="H1" s="31"/>
      <c r="I1" s="32" t="s">
        <v>38</v>
      </c>
      <c r="J1" s="33" t="s">
        <v>37</v>
      </c>
      <c r="K1" s="34">
        <v>9.51084</v>
      </c>
      <c r="L1" s="35">
        <v>-67.261200000000002</v>
      </c>
      <c r="M1" s="36">
        <v>52500.56</v>
      </c>
      <c r="N1" s="36">
        <v>0.74900719999999998</v>
      </c>
      <c r="O1" s="32" t="s">
        <v>39</v>
      </c>
      <c r="P1" s="30">
        <v>10</v>
      </c>
      <c r="Q1" s="30">
        <v>10.5</v>
      </c>
      <c r="R1" s="37" t="s">
        <v>40</v>
      </c>
      <c r="S1" s="32" t="s">
        <v>41</v>
      </c>
    </row>
    <row r="2" spans="1:19" x14ac:dyDescent="0.2">
      <c r="A2" t="s">
        <v>23</v>
      </c>
      <c r="B2" t="s">
        <v>39</v>
      </c>
      <c r="C2" s="28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5">
        <v>36691.256000000001</v>
      </c>
      <c r="D4" s="26">
        <v>1.1973750000000001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1">
        <v>52750.728000000003</v>
      </c>
      <c r="D7" s="42" t="s">
        <v>52</v>
      </c>
    </row>
    <row r="8" spans="1:19" x14ac:dyDescent="0.2">
      <c r="A8" t="s">
        <v>3</v>
      </c>
      <c r="C8" s="41">
        <v>0.74900500000000003</v>
      </c>
      <c r="D8" s="27" t="s">
        <v>52</v>
      </c>
    </row>
    <row r="9" spans="1:19" x14ac:dyDescent="0.2">
      <c r="A9" s="22" t="s">
        <v>32</v>
      </c>
      <c r="C9" s="23">
        <v>21</v>
      </c>
      <c r="D9" s="20" t="str">
        <f>"F"&amp;C9</f>
        <v>F21</v>
      </c>
      <c r="E9" s="21" t="str">
        <f>"G"&amp;C9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19">
        <f ca="1">INTERCEPT(INDIRECT($E$9):G992,INDIRECT($D$9):F992)</f>
        <v>2.1830999358571662E-2</v>
      </c>
      <c r="D11" s="3"/>
      <c r="E11" s="10"/>
    </row>
    <row r="12" spans="1:19" x14ac:dyDescent="0.2">
      <c r="A12" s="10" t="s">
        <v>16</v>
      </c>
      <c r="B12" s="10"/>
      <c r="C12" s="19">
        <f ca="1">SLOPE(INDIRECT($E$9):G992,INDIRECT($D$9):F992)</f>
        <v>-1.3344665087263285E-5</v>
      </c>
      <c r="D12" s="3"/>
      <c r="E12" s="43" t="s">
        <v>48</v>
      </c>
      <c r="F12" s="44" t="s">
        <v>49</v>
      </c>
    </row>
    <row r="13" spans="1:19" x14ac:dyDescent="0.2">
      <c r="A13" s="10" t="s">
        <v>18</v>
      </c>
      <c r="B13" s="10"/>
      <c r="C13" s="3" t="s">
        <v>13</v>
      </c>
      <c r="E13" s="45" t="s">
        <v>34</v>
      </c>
      <c r="F13" s="46">
        <v>1</v>
      </c>
    </row>
    <row r="14" spans="1:19" x14ac:dyDescent="0.2">
      <c r="A14" s="10"/>
      <c r="B14" s="10"/>
      <c r="C14" s="10"/>
      <c r="E14" s="45" t="s">
        <v>31</v>
      </c>
      <c r="F14" s="47">
        <f ca="1">NOW()+15018.5+$C$5/24</f>
        <v>60518.620234490736</v>
      </c>
    </row>
    <row r="15" spans="1:19" x14ac:dyDescent="0.2">
      <c r="A15" s="12" t="s">
        <v>17</v>
      </c>
      <c r="B15" s="10"/>
      <c r="C15" s="13">
        <f ca="1">(C7+C11)+(C8+C12)*INT(MAX(F21:F3533))</f>
        <v>57151.824797747307</v>
      </c>
      <c r="E15" s="45" t="s">
        <v>35</v>
      </c>
      <c r="F15" s="47">
        <f ca="1">ROUND(2*(F14-$C$7)/$C$8,0)/2+F13</f>
        <v>10372</v>
      </c>
    </row>
    <row r="16" spans="1:19" x14ac:dyDescent="0.2">
      <c r="A16" s="15" t="s">
        <v>4</v>
      </c>
      <c r="B16" s="10"/>
      <c r="C16" s="16">
        <f ca="1">+C8+C12</f>
        <v>0.74899165533491274</v>
      </c>
      <c r="E16" s="45" t="s">
        <v>36</v>
      </c>
      <c r="F16" s="48">
        <f ca="1">ROUND(2*(F14-$C$15)/$C$16,0)/2+F13</f>
        <v>4496</v>
      </c>
    </row>
    <row r="17" spans="1:18" ht="13.5" thickBot="1" x14ac:dyDescent="0.25">
      <c r="A17" s="14" t="s">
        <v>28</v>
      </c>
      <c r="B17" s="10"/>
      <c r="C17" s="10">
        <f>COUNT(C21:C2191)</f>
        <v>4</v>
      </c>
      <c r="E17" s="45" t="s">
        <v>50</v>
      </c>
      <c r="F17" s="48">
        <f ca="1">+$C$15+$C$16*$F$16-15018.5-$C$5/24</f>
        <v>45501.187113466411</v>
      </c>
    </row>
    <row r="18" spans="1:18" ht="14.25" thickTop="1" thickBot="1" x14ac:dyDescent="0.25">
      <c r="A18" s="15" t="s">
        <v>5</v>
      </c>
      <c r="B18" s="10"/>
      <c r="C18" s="17">
        <f ca="1">+C15</f>
        <v>57151.824797747307</v>
      </c>
      <c r="D18" s="18">
        <f ca="1">+C16</f>
        <v>0.74899165533491274</v>
      </c>
      <c r="E18" s="50" t="s">
        <v>51</v>
      </c>
      <c r="F18" s="49">
        <f ca="1">+($C$15+$C$16*$F$16)-($C$16/2)-15018.5-$C$5/24</f>
        <v>45500.812617638745</v>
      </c>
    </row>
    <row r="19" spans="1:18" ht="13.5" thickTop="1" x14ac:dyDescent="0.2"/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GCVS 4</v>
      </c>
      <c r="I20" s="7" t="s">
        <v>53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x14ac:dyDescent="0.2">
      <c r="A21" t="s">
        <v>43</v>
      </c>
      <c r="C21" s="8">
        <v>36691.256000000001</v>
      </c>
      <c r="D21" s="8"/>
      <c r="E21">
        <f>+(C21-C$7)/C$8</f>
        <v>-21441.074492159598</v>
      </c>
      <c r="F21">
        <f>ROUND(2*E21,0)/2-0.5</f>
        <v>-21441.5</v>
      </c>
      <c r="G21">
        <f>+C21-(C$7+F21*C$8)</f>
        <v>0.31870749999507098</v>
      </c>
      <c r="H21">
        <f>+G21</f>
        <v>0.31870749999507098</v>
      </c>
      <c r="O21">
        <f ca="1">+C$11+C$12*$F21</f>
        <v>0.3079606358271274</v>
      </c>
      <c r="Q21" s="2">
        <f>+C21-15018.5</f>
        <v>21672.756000000001</v>
      </c>
    </row>
    <row r="22" spans="1:18" x14ac:dyDescent="0.2">
      <c r="A22" t="s">
        <v>42</v>
      </c>
      <c r="C22" s="8">
        <v>52500.56</v>
      </c>
      <c r="D22" s="8" t="s">
        <v>13</v>
      </c>
      <c r="E22">
        <f>+(C22-C$7)/C$8</f>
        <v>-334.00044058451562</v>
      </c>
      <c r="F22">
        <f>ROUND(2*E22,0)/2</f>
        <v>-334</v>
      </c>
      <c r="G22">
        <f>+C22-(C$7+F22*C$8)</f>
        <v>-3.3000000257743523E-4</v>
      </c>
      <c r="I22">
        <f>+G22</f>
        <v>-3.3000000257743523E-4</v>
      </c>
      <c r="O22">
        <f ca="1">+C$11+C$12*$F22</f>
        <v>2.62881174977176E-2</v>
      </c>
      <c r="Q22" s="2">
        <f>+C22-15018.5</f>
        <v>37482.06</v>
      </c>
    </row>
    <row r="23" spans="1:18" x14ac:dyDescent="0.2">
      <c r="A23" t="str">
        <f>$D$7</f>
        <v>VSX</v>
      </c>
      <c r="C23" s="8">
        <f>$C$7</f>
        <v>52750.728000000003</v>
      </c>
      <c r="D23" s="8"/>
      <c r="E23">
        <f>+(C23-C$7)/C$8</f>
        <v>0</v>
      </c>
      <c r="F23">
        <f>ROUND(2*E23,0)/2</f>
        <v>0</v>
      </c>
      <c r="G23">
        <f>+C23-(C$7+F23*C$8)</f>
        <v>0</v>
      </c>
      <c r="I23">
        <f>+G23</f>
        <v>0</v>
      </c>
      <c r="O23">
        <f ca="1">+C$11+C$12*$F23</f>
        <v>2.1830999358571662E-2</v>
      </c>
      <c r="Q23" s="2">
        <f>+C23-15018.5</f>
        <v>37732.228000000003</v>
      </c>
    </row>
    <row r="24" spans="1:18" ht="15" x14ac:dyDescent="0.2">
      <c r="A24" s="38" t="s">
        <v>44</v>
      </c>
      <c r="B24" s="39" t="s">
        <v>45</v>
      </c>
      <c r="C24" s="8">
        <v>57151.862500000003</v>
      </c>
      <c r="D24" s="40">
        <v>2.0000000000000001E-4</v>
      </c>
      <c r="E24">
        <f>+(C24-C$7)/C$8</f>
        <v>5875.9747932256796</v>
      </c>
      <c r="F24">
        <f>ROUND(2*E24,0)/2</f>
        <v>5876</v>
      </c>
      <c r="G24">
        <f>+C24-(C$7+F24*C$8)</f>
        <v>-1.8880000003264286E-2</v>
      </c>
      <c r="J24">
        <f>+G24</f>
        <v>-1.8880000003264286E-2</v>
      </c>
      <c r="O24">
        <f ca="1">+C$11+C$12*$F24</f>
        <v>-5.6582252694187402E-2</v>
      </c>
      <c r="Q24" s="2">
        <f>+C24-15018.5</f>
        <v>42133.362500000003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S25">
    <sortCondition ref="C21:C25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2024-07-27T02:53:08Z</dcterms:modified>
</cp:coreProperties>
</file>