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5274D3B-A406-480B-94F9-331BA32659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I22" i="1" s="1"/>
  <c r="E23" i="1"/>
  <c r="F23" i="1"/>
  <c r="G23" i="1" s="1"/>
  <c r="I23" i="1" s="1"/>
  <c r="Q22" i="1"/>
  <c r="Q23" i="1"/>
  <c r="F11" i="1"/>
  <c r="C21" i="1"/>
  <c r="E21" i="1"/>
  <c r="F21" i="1" s="1"/>
  <c r="G21" i="1" s="1"/>
  <c r="H21" i="1" s="1"/>
  <c r="A21" i="1"/>
  <c r="H20" i="1"/>
  <c r="G11" i="1"/>
  <c r="F14" i="1"/>
  <c r="F15" i="1" s="1"/>
  <c r="C17" i="1"/>
  <c r="Q21" i="1"/>
  <c r="C11" i="1"/>
  <c r="C12" i="1"/>
  <c r="C15" i="1" l="1"/>
  <c r="O23" i="1"/>
  <c r="S23" i="1" s="1"/>
  <c r="O21" i="1"/>
  <c r="S21" i="1" s="1"/>
  <c r="O22" i="1"/>
  <c r="S22" i="1" s="1"/>
  <c r="C16" i="1"/>
  <c r="D18" i="1" s="1"/>
  <c r="S19" i="1" l="1"/>
  <c r="F16" i="1"/>
  <c r="F17" i="1" s="1"/>
  <c r="C18" i="1"/>
  <c r="F18" i="1" l="1"/>
</calcChain>
</file>

<file path=xl/sharedStrings.xml><?xml version="1.0" encoding="utf-8"?>
<sst xmlns="http://schemas.openxmlformats.org/spreadsheetml/2006/main" count="59" uniqueCount="55">
  <si>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</si>
  <si>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</si>
  <si>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</si>
  <si>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</si>
  <si>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</si>
  <si>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</si>
  <si>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</si>
  <si>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</si>
  <si>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</si>
  <si>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</si>
  <si>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</si>
  <si>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</si>
  <si>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</si>
  <si>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</si>
  <si>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</si>
  <si>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</si>
  <si>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</si>
  <si>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</si>
  <si>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</si>
  <si>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</si>
  <si>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</si>
  <si>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</si>
  <si>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</si>
  <si>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</si>
  <si>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</si>
  <si>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</si>
  <si>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</si>
  <si>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</si>
  <si>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</si>
  <si>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</si>
  <si>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</si>
  <si>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</si>
  <si>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</si>
  <si>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</si>
  <si>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</si>
  <si>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</si>
  <si>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</si>
  <si>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</si>
  <si>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</si>
  <si>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V0486 Car</t>
  </si>
  <si>
    <t>EB</t>
  </si>
  <si>
    <t>Car</t>
  </si>
  <si>
    <t>G8953-1499</t>
  </si>
  <si>
    <t>VSX</t>
  </si>
  <si>
    <t>V0486 Car / GSC 8953-1499</t>
  </si>
  <si>
    <t>Car_V0486.xls</t>
  </si>
  <si>
    <t>VSS_2013-01-28</t>
  </si>
  <si>
    <t>II</t>
  </si>
  <si>
    <t>I</t>
  </si>
  <si>
    <t>CCD</t>
  </si>
  <si>
    <t>S3</t>
  </si>
  <si>
    <t xml:space="preserve">Mag Hp </t>
  </si>
  <si>
    <t>6.29-6.45</t>
  </si>
  <si>
    <t>Next ToM-P</t>
  </si>
  <si>
    <t>Next ToM-S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</si>
</sst>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2" borderId="1" xfId="0" applyFill="1" applyBorder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  <xf numFmtId="0" fontId="5" fillId="3" borderId="6" xfId="0" applyFont="1" applyFill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0" fontId="12" fillId="0" borderId="9" xfId="0" applyFont="1" applyBorder="1" applyAlignment="1">
      <alignment horizontal="right" vertical="center"/>
    </xf>
    <xf numFmtId="0" fontId="16" fillId="0" borderId="9" xfId="0" applyFont="1" applyBorder="1" applyAlignment="1"/>
    <xf numFmtId="22" fontId="16" fillId="0" borderId="9" xfId="0" applyNumberFormat="1" applyFont="1" applyBorder="1" applyAlignment="1"/>
    <xf numFmtId="22" fontId="16" fillId="0" borderId="10" xfId="0" applyNumberFormat="1" applyFont="1" applyBorder="1" applyAlignment="1"/>
    <xf numFmtId="0" fontId="17" fillId="0" borderId="11" xfId="0" applyFont="1" applyBorder="1" applyAlignment="1">
      <alignment horizontal="right" vertical="center"/>
    </xf>
    <xf numFmtId="0" fontId="5" fillId="3" borderId="7" xfId="0" applyFont="1" applyFill="1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V0486 Car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6855.5</c:v>
                </c:pt>
                <c:pt idx="2">
                  <c:v>6914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A7-4656-B19E-96A2F82B318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6855.5</c:v>
                </c:pt>
                <c:pt idx="2">
                  <c:v>6914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-5.3461499999684747E-2</c:v>
                </c:pt>
                <c:pt idx="2">
                  <c:v>-8.1202000001212582E-2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A7-4656-B19E-96A2F82B318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6855.5</c:v>
                </c:pt>
                <c:pt idx="2">
                  <c:v>6914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EA7-4656-B19E-96A2F82B318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6855.5</c:v>
                </c:pt>
                <c:pt idx="2">
                  <c:v>6914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EA7-4656-B19E-96A2F82B318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6855.5</c:v>
                </c:pt>
                <c:pt idx="2">
                  <c:v>6914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EA7-4656-B19E-96A2F82B318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6855.5</c:v>
                </c:pt>
                <c:pt idx="2">
                  <c:v>6914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EA7-4656-B19E-96A2F82B318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6855.5</c:v>
                </c:pt>
                <c:pt idx="2">
                  <c:v>6914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EA7-4656-B19E-96A2F82B318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6855.5</c:v>
                </c:pt>
                <c:pt idx="2">
                  <c:v>6914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1.1541916090385129E-4</c:v>
                </c:pt>
                <c:pt idx="1">
                  <c:v>-6.7102663734544848E-2</c:v>
                </c:pt>
                <c:pt idx="2">
                  <c:v>-6.767625542725636E-2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EA7-4656-B19E-96A2F82B318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6855.5</c:v>
                </c:pt>
                <c:pt idx="2">
                  <c:v>6914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EA7-4656-B19E-96A2F82B3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2302912"/>
        <c:axId val="1"/>
      </c:scatterChart>
      <c:valAx>
        <c:axId val="692302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23029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08270676691729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0</xdr:row>
      <xdr:rowOff>9525</xdr:rowOff>
    </xdr:from>
    <xdr:to>
      <xdr:col>17</xdr:col>
      <xdr:colOff>228600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8CA81C2-F4C0-E237-F72E-4B1F26F1F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I36" sqref="I35:I3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5703125" customWidth="1"/>
    <col min="6" max="6" width="17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44</v>
      </c>
      <c r="E1" t="s">
        <v>45</v>
      </c>
    </row>
    <row r="2" spans="1:7" x14ac:dyDescent="0.2">
      <c r="A2" t="s">
        <v>23</v>
      </c>
      <c r="B2" t="s">
        <v>40</v>
      </c>
      <c r="C2" s="28" t="s">
        <v>38</v>
      </c>
      <c r="D2" s="3" t="s">
        <v>41</v>
      </c>
      <c r="E2" s="29" t="s">
        <v>39</v>
      </c>
      <c r="F2" t="s">
        <v>42</v>
      </c>
    </row>
    <row r="3" spans="1:7" ht="13.5" thickBot="1" x14ac:dyDescent="0.25"/>
    <row r="4" spans="1:7" ht="14.25" thickTop="1" thickBot="1" x14ac:dyDescent="0.25">
      <c r="A4" s="5" t="s">
        <v>0</v>
      </c>
      <c r="C4" s="25" t="s">
        <v>37</v>
      </c>
      <c r="D4" s="26" t="s">
        <v>37</v>
      </c>
    </row>
    <row r="6" spans="1:7" x14ac:dyDescent="0.2">
      <c r="A6" s="5" t="s">
        <v>1</v>
      </c>
    </row>
    <row r="7" spans="1:7" x14ac:dyDescent="0.2">
      <c r="A7" t="s">
        <v>2</v>
      </c>
      <c r="C7" s="33">
        <v>48500.9</v>
      </c>
      <c r="D7" s="27" t="s">
        <v>43</v>
      </c>
    </row>
    <row r="8" spans="1:7" x14ac:dyDescent="0.2">
      <c r="A8" t="s">
        <v>3</v>
      </c>
      <c r="C8" s="33">
        <v>1.093893</v>
      </c>
      <c r="D8" s="27" t="s">
        <v>43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INTERCEPT(INDIRECT($G$11):G991,INDIRECT($F$11):F991)</f>
        <v>1.1541916090385129E-4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16</v>
      </c>
      <c r="B12" s="10"/>
      <c r="C12" s="19">
        <f ca="1">SLOPE(INDIRECT($G$11):G991,INDIRECT($F$11):F991)</f>
        <v>-9.8049862001967319E-6</v>
      </c>
      <c r="D12" s="3"/>
      <c r="E12" s="34" t="s">
        <v>51</v>
      </c>
      <c r="F12" s="41" t="s">
        <v>52</v>
      </c>
    </row>
    <row r="13" spans="1:7" x14ac:dyDescent="0.2">
      <c r="A13" s="10" t="s">
        <v>18</v>
      </c>
      <c r="B13" s="10"/>
      <c r="C13" s="3" t="s">
        <v>13</v>
      </c>
      <c r="E13" s="35" t="s">
        <v>34</v>
      </c>
      <c r="F13" s="36">
        <v>1</v>
      </c>
    </row>
    <row r="14" spans="1:7" x14ac:dyDescent="0.2">
      <c r="A14" s="10"/>
      <c r="B14" s="10"/>
      <c r="C14" s="10"/>
      <c r="E14" s="35" t="s">
        <v>31</v>
      </c>
      <c r="F14" s="37">
        <f ca="1">NOW()+15018.5+$C$9/24</f>
        <v>60518.623092245369</v>
      </c>
    </row>
    <row r="15" spans="1:7" x14ac:dyDescent="0.2">
      <c r="A15" s="12" t="s">
        <v>17</v>
      </c>
      <c r="B15" s="10"/>
      <c r="C15" s="13">
        <f ca="1">(C7+C11)+(C8+C12)*INT(MAX(F21:F3532))</f>
        <v>56064.008525744575</v>
      </c>
      <c r="E15" s="35" t="s">
        <v>35</v>
      </c>
      <c r="F15" s="37">
        <f ca="1">ROUND(2*(F14-$C$7)/$C$8,0)/2+F13</f>
        <v>10987</v>
      </c>
    </row>
    <row r="16" spans="1:7" x14ac:dyDescent="0.2">
      <c r="A16" s="15" t="s">
        <v>4</v>
      </c>
      <c r="B16" s="10"/>
      <c r="C16" s="16">
        <f ca="1">+C8+C12</f>
        <v>1.0938831950137997</v>
      </c>
      <c r="E16" s="35" t="s">
        <v>36</v>
      </c>
      <c r="F16" s="37">
        <f ca="1">ROUND(2*(F14-$C$15)/$C$16,0)/2+F13</f>
        <v>4073.5</v>
      </c>
    </row>
    <row r="17" spans="1:19" ht="13.5" thickBot="1" x14ac:dyDescent="0.25">
      <c r="A17" s="14" t="s">
        <v>28</v>
      </c>
      <c r="B17" s="10"/>
      <c r="C17" s="10">
        <f>COUNT(C21:C2190)</f>
        <v>3</v>
      </c>
      <c r="E17" s="35" t="s">
        <v>53</v>
      </c>
      <c r="F17" s="38">
        <f ca="1">+$C$15+$C$16*$F$16-15018.5-$C$9/24</f>
        <v>45501.837553966623</v>
      </c>
    </row>
    <row r="18" spans="1:19" ht="14.25" thickTop="1" thickBot="1" x14ac:dyDescent="0.25">
      <c r="A18" s="15" t="s">
        <v>5</v>
      </c>
      <c r="B18" s="10"/>
      <c r="C18" s="17">
        <f ca="1">+C15</f>
        <v>56064.008525744575</v>
      </c>
      <c r="D18" s="18">
        <f ca="1">+C16</f>
        <v>1.0938831950137997</v>
      </c>
      <c r="E18" s="40" t="s">
        <v>54</v>
      </c>
      <c r="F18" s="39">
        <f ca="1">+($C$15+$C$16*$F$16)-($C$16/2)-15018.5-$C$9/24</f>
        <v>45501.290612369114</v>
      </c>
    </row>
    <row r="19" spans="1:19" ht="13.5" thickTop="1" x14ac:dyDescent="0.2">
      <c r="A19" s="22" t="s">
        <v>32</v>
      </c>
      <c r="E19" s="23">
        <v>21</v>
      </c>
      <c r="S19">
        <f ca="1">SQRT(SUM(S21:S49)/(COUNT(S21:S49)-1))</f>
        <v>1.3583821919914004E-2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49</v>
      </c>
      <c r="J20" s="7" t="s">
        <v>50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33</v>
      </c>
    </row>
    <row r="21" spans="1:19" x14ac:dyDescent="0.2">
      <c r="A21" t="str">
        <f>D7</f>
        <v>VSX</v>
      </c>
      <c r="C21" s="8">
        <f>C$7</f>
        <v>48500.9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1.1541916090385129E-4</v>
      </c>
      <c r="Q21" s="2">
        <f>+C21-15018.5</f>
        <v>33482.400000000001</v>
      </c>
      <c r="S21">
        <f ca="1">+(O21-G21)^2</f>
        <v>1.3321582703749114E-8</v>
      </c>
    </row>
    <row r="22" spans="1:19" x14ac:dyDescent="0.2">
      <c r="A22" s="30" t="s">
        <v>46</v>
      </c>
      <c r="B22" s="31" t="s">
        <v>47</v>
      </c>
      <c r="C22" s="32">
        <v>56000.03</v>
      </c>
      <c r="D22" s="32">
        <v>5.0000000000000001E-3</v>
      </c>
      <c r="E22">
        <f>+(C22-C$7)/C$8</f>
        <v>6855.4511273040389</v>
      </c>
      <c r="F22">
        <f>ROUND(2*E22,0)/2</f>
        <v>6855.5</v>
      </c>
      <c r="G22">
        <f>+C22-(C$7+F22*C$8)</f>
        <v>-5.3461499999684747E-2</v>
      </c>
      <c r="I22">
        <f>+G22</f>
        <v>-5.3461499999684747E-2</v>
      </c>
      <c r="O22">
        <f ca="1">+C$11+C$12*$F22</f>
        <v>-6.7102663734544848E-2</v>
      </c>
      <c r="Q22" s="2">
        <f>+C22-15018.5</f>
        <v>40981.53</v>
      </c>
      <c r="S22">
        <f ca="1">+(O22-G22)^2</f>
        <v>1.8608134804126239E-4</v>
      </c>
    </row>
    <row r="23" spans="1:19" x14ac:dyDescent="0.2">
      <c r="A23" s="30" t="s">
        <v>46</v>
      </c>
      <c r="B23" s="31" t="s">
        <v>48</v>
      </c>
      <c r="C23" s="32">
        <v>56063.995000000003</v>
      </c>
      <c r="D23" s="32">
        <v>5.0000000000000001E-3</v>
      </c>
      <c r="E23">
        <f>+(C23-C$7)/C$8</f>
        <v>6913.9257678767499</v>
      </c>
      <c r="F23">
        <f>ROUND(2*E23,0)/2</f>
        <v>6914</v>
      </c>
      <c r="G23">
        <f>+C23-(C$7+F23*C$8)</f>
        <v>-8.1202000001212582E-2</v>
      </c>
      <c r="I23">
        <f>+G23</f>
        <v>-8.1202000001212582E-2</v>
      </c>
      <c r="O23">
        <f ca="1">+C$11+C$12*$F23</f>
        <v>-6.767625542725636E-2</v>
      </c>
      <c r="Q23" s="2">
        <f>+C23-15018.5</f>
        <v>41045.495000000003</v>
      </c>
      <c r="S23">
        <f ca="1">+(O23-G23)^2</f>
        <v>1.8294576627990618E-4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2024-07-27T02:57:15Z</dcterms:modified>
</cp:coreProperties>
</file>