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D4449DA-419D-40ED-9E41-978B1AB7C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H22" i="1" s="1"/>
  <c r="Q22" i="1"/>
  <c r="C22" i="1"/>
  <c r="A22" i="1"/>
  <c r="F14" i="1"/>
  <c r="R22" i="1"/>
  <c r="G11" i="1"/>
  <c r="F11" i="1"/>
  <c r="E21" i="1"/>
  <c r="F21" i="1"/>
  <c r="G21" i="1" s="1"/>
  <c r="H21" i="1" s="1"/>
  <c r="C17" i="1"/>
  <c r="Q21" i="1"/>
  <c r="C12" i="1"/>
  <c r="F15" i="1" l="1"/>
  <c r="C16" i="1"/>
  <c r="D18" i="1" s="1"/>
  <c r="C11" i="1"/>
  <c r="O22" i="1" l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<sst xmlns="http://schemas.openxmlformats.org/spreadsheetml/2006/main" count="56" uniqueCount="49">
  <si>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</si>
  <si>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</si>
  <si>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</si>
  <si>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</si>
  <si>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</si>
  <si>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</si>
  <si>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</si>
  <si>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</si>
  <si>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</si>
  <si>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</si>
  <si>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</si>
  <si>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</si>
  <si>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</si>
  <si>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</si>
  <si>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</si>
  <si>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</si>
  <si>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</si>
  <si>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</si>
  <si>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</si>
  <si>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</si>
  <si>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</si>
  <si>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</si>
  <si>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</si>
  <si>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</si>
  <si>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</si>
  <si>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</si>
  <si>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</si>
  <si>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</si>
  <si>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</si>
  <si>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</si>
  <si>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</si>
  <si>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</si>
  <si>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</si>
  <si>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</si>
  <si>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</si>
  <si>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V0594 Car  / GSC 8949-1418</t>
  </si>
  <si>
    <t>Car_V0594.xls</t>
  </si>
  <si>
    <t>EA/KE</t>
  </si>
  <si>
    <t>IBVS 5480 Eph.</t>
  </si>
  <si>
    <t>IBVS 5480</t>
  </si>
  <si>
    <t>Car</t>
  </si>
  <si>
    <t>CCD</t>
  </si>
  <si>
    <t xml:space="preserve">Mag </t>
  </si>
  <si>
    <t>Add cycle</t>
  </si>
  <si>
    <t>Old Cycle</t>
  </si>
  <si>
    <t>Next ToM-P</t>
  </si>
  <si>
    <t>Next ToM-S</t>
  </si>
  <si>
    <t>10.35-11.08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</si>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</sst>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6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V0594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-1407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-1.1800000000221189E-2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A9-49FD-88B0-156C379CF9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-1407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A9-49FD-88B0-156C379CF9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-1407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A9-49FD-88B0-156C379CF9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-1407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A9-49FD-88B0-156C379CF9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-1407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A9-49FD-88B0-156C379CF9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-1407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A9-49FD-88B0-156C379CF9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-1407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A9-49FD-88B0-156C379CF9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-1407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-1.1800000000221189E-2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A9-49FD-88B0-156C379C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7280"/>
        <c:axId val="1"/>
      </c:scatterChart>
      <c:valAx>
        <c:axId val="30489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7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7329DC-E34B-38E8-E125-04C9CC37B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51948.606</v>
      </c>
      <c r="J1" s="29">
        <v>3.1658300000000001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51948.606</v>
      </c>
      <c r="D4" s="8">
        <v>3.1658300000000001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56402.898399999998</v>
      </c>
      <c r="D7" s="30" t="s">
        <v>48</v>
      </c>
    </row>
    <row r="8" spans="1:12" x14ac:dyDescent="0.2">
      <c r="A8" t="s">
        <v>2</v>
      </c>
      <c r="C8">
        <v>3.1657999999999999</v>
      </c>
      <c r="D8" s="30" t="s">
        <v>48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>
        <f ca="1">INTERCEPT(INDIRECT($G$11):G992,INDIRECT($F$11):F992)</f>
        <v>0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>
        <f ca="1">SLOPE(INDIRECT($G$11):G992,INDIRECT($F$11):F992)</f>
        <v>8.3866382375417123E-6</v>
      </c>
      <c r="D12" s="13"/>
      <c r="E12" s="31" t="s">
        <v>42</v>
      </c>
      <c r="F12" s="32" t="s">
        <v>47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43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60518.7265625</v>
      </c>
    </row>
    <row r="15" spans="1:12" x14ac:dyDescent="0.2">
      <c r="A15" s="14" t="s">
        <v>16</v>
      </c>
      <c r="B15" s="11"/>
      <c r="C15" s="15">
        <f ca="1">(C7+C11)+(C8+C12)*INT(MAX(F21:F3533))</f>
        <v>56402.898399999998</v>
      </c>
      <c r="D15" s="16"/>
      <c r="E15" s="33" t="s">
        <v>44</v>
      </c>
      <c r="F15" s="35">
        <f ca="1">ROUND(2*($F$14-$C$7)/$C$8,0)/2+$F$13</f>
        <v>1301</v>
      </c>
    </row>
    <row r="16" spans="1:12" x14ac:dyDescent="0.2">
      <c r="A16" s="17" t="s">
        <v>3</v>
      </c>
      <c r="B16" s="11"/>
      <c r="C16" s="18">
        <f ca="1">+C8+C12</f>
        <v>3.1658083866382376</v>
      </c>
      <c r="D16" s="16"/>
      <c r="E16" s="33" t="s">
        <v>33</v>
      </c>
      <c r="F16" s="35">
        <f ca="1">ROUND(2*($F$14-$C$15)/$C$16,0)/2+$F$13</f>
        <v>1301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/>
      <c r="E17" s="36" t="s">
        <v>45</v>
      </c>
      <c r="F17" s="37">
        <f ca="1">+$C$15+$C$16*$F$16-15018.5-$C$9/24</f>
        <v>45503.510944349684</v>
      </c>
    </row>
    <row r="18" spans="1:18" ht="14.25" thickTop="1" thickBot="1" x14ac:dyDescent="0.25">
      <c r="A18" s="17" t="s">
        <v>4</v>
      </c>
      <c r="B18" s="11"/>
      <c r="C18" s="19">
        <f ca="1">+C15</f>
        <v>56402.898399999998</v>
      </c>
      <c r="D18" s="20">
        <f ca="1">+C16</f>
        <v>3.1658083866382376</v>
      </c>
      <c r="E18" s="39" t="s">
        <v>46</v>
      </c>
      <c r="F18" s="38">
        <f ca="1">+($C$15+$C$16*$F$16)-($C$16/2)-15018.5-$C$9/24</f>
        <v>45501.928040156366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39</v>
      </c>
      <c r="C21" s="9">
        <v>51948.606</v>
      </c>
      <c r="D21" s="9" t="s">
        <v>12</v>
      </c>
      <c r="E21">
        <f>+(C21-C$7)/C$8</f>
        <v>-1407.0037273359019</v>
      </c>
      <c r="F21">
        <f>ROUND(2*E21,0)/2</f>
        <v>-1407</v>
      </c>
      <c r="G21">
        <f>+C21-(C$7+F21*C$8)</f>
        <v>-1.1800000000221189E-2</v>
      </c>
      <c r="H21">
        <f>+G21</f>
        <v>-1.1800000000221189E-2</v>
      </c>
      <c r="O21">
        <f ca="1">+C$11+C$12*$F21</f>
        <v>-1.1800000000221189E-2</v>
      </c>
      <c r="Q21" s="2">
        <f>+C21-15018.5</f>
        <v>36930.106</v>
      </c>
    </row>
    <row r="22" spans="1:18" x14ac:dyDescent="0.2">
      <c r="A22" t="str">
        <f>$D$7</f>
        <v>VSX</v>
      </c>
      <c r="C22" s="9">
        <f>$C$7</f>
        <v>56402.898399999998</v>
      </c>
      <c r="D22" s="9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41384.398399999998</v>
      </c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2024-07-27T05:26:15Z</dcterms:modified>
</cp:coreProperties>
</file>