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E6EDBF7-CA36-487E-9B04-6CE93AFD4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G11" i="1"/>
  <c r="F11" i="1"/>
  <c r="C17" i="1"/>
  <c r="Q22" i="1"/>
  <c r="Q23" i="1"/>
  <c r="C8" i="1"/>
  <c r="E21" i="1"/>
  <c r="F21" i="1"/>
  <c r="G21" i="1"/>
  <c r="H21" i="1"/>
  <c r="C7" i="1"/>
  <c r="E22" i="1"/>
  <c r="F22" i="1"/>
  <c r="G22" i="1"/>
  <c r="I22" i="1"/>
  <c r="Q21" i="1"/>
  <c r="E23" i="1"/>
  <c r="F23" i="1"/>
  <c r="G23" i="1"/>
  <c r="I23" i="1"/>
  <c r="C11" i="1"/>
  <c r="C12" i="1"/>
  <c r="C16" i="1" l="1"/>
  <c r="D18" i="1" s="1"/>
  <c r="O22" i="1"/>
  <c r="O23" i="1"/>
  <c r="O21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<sst xmlns="http://schemas.openxmlformats.org/spreadsheetml/2006/main" count="53" uniqueCount="49">
  <si>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</si>
  <si>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</si>
  <si>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</si>
  <si>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</si>
  <si>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</si>
  <si>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</si>
  <si>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</si>
  <si>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</si>
  <si>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</si>
  <si>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</si>
  <si>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</si>
  <si>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</si>
  <si>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</si>
  <si>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</si>
  <si>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</si>
  <si>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</si>
  <si>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</si>
  <si>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</si>
  <si>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</si>
  <si>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</si>
  <si>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</si>
  <si>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</si>
  <si>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</si>
  <si>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</si>
  <si>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</si>
  <si>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</si>
  <si>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</si>
  <si>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</si>
  <si>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</si>
  <si>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</si>
  <si>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</si>
  <si>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</si>
  <si>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</si>
  <si>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</si>
  <si>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</si>
  <si>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</si>
  <si>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X Car / GSC 8580-0563</t>
  </si>
  <si>
    <t xml:space="preserve">EB/KE     </t>
  </si>
  <si>
    <t>IBVS 1702</t>
  </si>
  <si>
    <t>I</t>
  </si>
  <si>
    <t>II</t>
  </si>
  <si>
    <t>Add cycle</t>
  </si>
  <si>
    <t>Old Cycle</t>
  </si>
  <si>
    <t>CCD</t>
  </si>
  <si>
    <t>VSX</t>
  </si>
  <si>
    <t xml:space="preserve">Mag </t>
  </si>
  <si>
    <t>Next ToM-P</t>
  </si>
  <si>
    <t>Next ToM-S</t>
  </si>
  <si>
    <t>7.90-8.65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</si>
</sst>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0" fillId="0" borderId="1" xfId="0" applyBorder="1">
      <alignment vertical="top"/>
    </xf>
    <xf numFmtId="0" fontId="0" fillId="0" borderId="0" xfId="0" applyAlignment="1">
      <alignment vertical="center"/>
    </xf>
    <xf numFmtId="0" fontId="13" fillId="2" borderId="6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11" fillId="0" borderId="9" xfId="0" applyFont="1" applyBorder="1">
      <alignment vertical="top"/>
    </xf>
    <xf numFmtId="0" fontId="15" fillId="0" borderId="9" xfId="0" applyFont="1" applyBorder="1">
      <alignment vertical="top"/>
    </xf>
    <xf numFmtId="0" fontId="15" fillId="0" borderId="9" xfId="0" applyFont="1" applyBorder="1" applyAlignment="1"/>
    <xf numFmtId="22" fontId="15" fillId="0" borderId="9" xfId="0" applyNumberFormat="1" applyFont="1" applyBorder="1">
      <alignment vertical="top"/>
    </xf>
    <xf numFmtId="22" fontId="15" fillId="0" borderId="10" xfId="0" applyNumberFormat="1" applyFont="1" applyBorder="1" applyAlignment="1"/>
    <xf numFmtId="0" fontId="14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 Car - O-C Diagr.</a:t>
            </a:r>
          </a:p>
        </c:rich>
      </c:tx>
      <c:layout>
        <c:manualLayout>
          <c:xMode val="edge"/>
          <c:yMode val="edge"/>
          <c:x val="0.396992481203007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32-473D-AA16-94D3B5094171}"/>
            </c:ext>
          </c:extLst>
        </c:ser>
        <c:ser>
          <c:idx val="1"/>
          <c:order val="1"/>
          <c:tx>
            <c:strRef>
              <c:f>Ative!$I$20:$I$20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Ative!$I$21:$I$999</c:f>
              <c:numCache>
                <c:formatCode>General</c:formatCode>
                <c:ptCount val="979"/>
                <c:pt idx="1">
                  <c:v>-1.8411999997624662E-2</c:v>
                </c:pt>
                <c:pt idx="2">
                  <c:v>-1.9082499995420221E-2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32-473D-AA16-94D3B5094171}"/>
            </c:ext>
          </c:extLst>
        </c:ser>
        <c:ser>
          <c:idx val="3"/>
          <c:order val="2"/>
          <c:tx>
            <c:strRef>
              <c:f>Ative!$J$20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32-473D-AA16-94D3B5094171}"/>
            </c:ext>
          </c:extLst>
        </c:ser>
        <c:ser>
          <c:idx val="4"/>
          <c:order val="3"/>
          <c:tx>
            <c:strRef>
              <c:f>Ative!$K$20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32-473D-AA16-94D3B5094171}"/>
            </c:ext>
          </c:extLst>
        </c:ser>
        <c:ser>
          <c:idx val="2"/>
          <c:order val="4"/>
          <c:tx>
            <c:strRef>
              <c:f>Ative!$L$20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32-473D-AA16-94D3B5094171}"/>
            </c:ext>
          </c:extLst>
        </c:ser>
        <c:ser>
          <c:idx val="5"/>
          <c:order val="5"/>
          <c:tx>
            <c:strRef>
              <c:f>Ative!$M$20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32-473D-AA16-94D3B5094171}"/>
            </c:ext>
          </c:extLst>
        </c:ser>
        <c:ser>
          <c:idx val="6"/>
          <c:order val="6"/>
          <c:tx>
            <c:strRef>
              <c:f>Ative!$N$20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32-473D-AA16-94D3B5094171}"/>
            </c:ext>
          </c:extLst>
        </c:ser>
        <c:ser>
          <c:idx val="7"/>
          <c:order val="7"/>
          <c:tx>
            <c:strRef>
              <c:f>Ative!$O$20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12852</c:v>
                </c:pt>
                <c:pt idx="2">
                  <c:v>12857.5</c:v>
                </c:pt>
              </c:numCache>
            </c:numRef>
          </c:xVal>
          <c:yVal>
            <c:numRef>
              <c:f>Ative!$O$21:$O$999</c:f>
              <c:numCache>
                <c:formatCode>General</c:formatCode>
                <c:ptCount val="979"/>
                <c:pt idx="0">
                  <c:v>1.4172322152818106E-7</c:v>
                </c:pt>
                <c:pt idx="1">
                  <c:v>-1.8743310237771184E-2</c:v>
                </c:pt>
                <c:pt idx="2">
                  <c:v>-1.8751331478495233E-2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32-473D-AA16-94D3B5094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1880"/>
        <c:axId val="1"/>
      </c:scatterChart>
      <c:valAx>
        <c:axId val="304891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1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736842105263157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87E7C1F-4CD6-92EA-3E95-332A7E4A6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E3" sqref="E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</row>
    <row r="2" spans="1:7" x14ac:dyDescent="0.2">
      <c r="A2" t="s">
        <v>24</v>
      </c>
      <c r="B2" s="26" t="s">
        <v>37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28857.146000000001</v>
      </c>
      <c r="D4" s="9">
        <v>1.0826309999999999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28857.146000000001</v>
      </c>
      <c r="D7" t="s">
        <v>44</v>
      </c>
    </row>
    <row r="8" spans="1:7" x14ac:dyDescent="0.2">
      <c r="A8" t="s">
        <v>3</v>
      </c>
      <c r="C8">
        <f>+D4</f>
        <v>1.0826309999999999</v>
      </c>
      <c r="D8" t="s">
        <v>44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1">
        <f ca="1">INTERCEPT(INDIRECT($G$11):G992,INDIRECT($F$11):F992)</f>
        <v>1.4172322152818106E-7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17</v>
      </c>
      <c r="B12" s="12"/>
      <c r="C12" s="21">
        <f ca="1">SLOPE(INDIRECT($G$11):G992,INDIRECT($F$11):F992)</f>
        <v>-1.4584074043722931E-6</v>
      </c>
      <c r="D12" s="3"/>
      <c r="E12" s="28" t="s">
        <v>45</v>
      </c>
      <c r="F12" s="29" t="s">
        <v>48</v>
      </c>
    </row>
    <row r="13" spans="1:7" x14ac:dyDescent="0.2">
      <c r="A13" s="12" t="s">
        <v>19</v>
      </c>
      <c r="B13" s="12"/>
      <c r="C13" s="3" t="s">
        <v>14</v>
      </c>
      <c r="E13" s="30" t="s">
        <v>41</v>
      </c>
      <c r="F13" s="31">
        <v>1</v>
      </c>
    </row>
    <row r="14" spans="1:7" x14ac:dyDescent="0.2">
      <c r="A14" s="12"/>
      <c r="B14" s="12"/>
      <c r="C14" s="12"/>
      <c r="E14" s="30" t="s">
        <v>33</v>
      </c>
      <c r="F14" s="32">
        <f ca="1">NOW()+15018.5+$C$9/24</f>
        <v>60518.734195254627</v>
      </c>
    </row>
    <row r="15" spans="1:7" x14ac:dyDescent="0.2">
      <c r="A15" s="14" t="s">
        <v>18</v>
      </c>
      <c r="B15" s="12"/>
      <c r="C15" s="15">
        <f ca="1">(C7+C11)+(C8+C12)*INT(MAX(F21:F3533))</f>
        <v>42776.514016397727</v>
      </c>
      <c r="E15" s="30" t="s">
        <v>42</v>
      </c>
      <c r="F15" s="32">
        <f ca="1">ROUND(2*($F$14-$C$7)/$C$8,0)/2+$F$13</f>
        <v>29246</v>
      </c>
    </row>
    <row r="16" spans="1:7" x14ac:dyDescent="0.2">
      <c r="A16" s="17" t="s">
        <v>4</v>
      </c>
      <c r="B16" s="12"/>
      <c r="C16" s="18">
        <f ca="1">+C8+C12</f>
        <v>1.0826295415925955</v>
      </c>
      <c r="E16" s="30" t="s">
        <v>34</v>
      </c>
      <c r="F16" s="33">
        <f ca="1">ROUND(2*($F$14-$C$15)/$C$16,0)/2+$F$13</f>
        <v>16389</v>
      </c>
    </row>
    <row r="17" spans="1:17" ht="13.5" thickBot="1" x14ac:dyDescent="0.25">
      <c r="A17" s="16" t="s">
        <v>30</v>
      </c>
      <c r="B17" s="12"/>
      <c r="C17" s="12">
        <f>COUNT(C21:C2191)</f>
        <v>3</v>
      </c>
      <c r="E17" s="30" t="s">
        <v>46</v>
      </c>
      <c r="F17" s="34">
        <f ca="1">+$C$15+$C$16*$F$16-15018.5-$C$9/24</f>
        <v>45501.625406892112</v>
      </c>
    </row>
    <row r="18" spans="1:17" ht="14.25" thickTop="1" thickBot="1" x14ac:dyDescent="0.25">
      <c r="A18" s="17" t="s">
        <v>5</v>
      </c>
      <c r="B18" s="12"/>
      <c r="C18" s="19">
        <f ca="1">+C15</f>
        <v>42776.514016397727</v>
      </c>
      <c r="D18" s="20">
        <f ca="1">+C16</f>
        <v>1.0826295415925955</v>
      </c>
      <c r="E18" s="36" t="s">
        <v>47</v>
      </c>
      <c r="F18" s="35">
        <f ca="1">+($C$15+$C$16*$F$16)-($C$16/2)-15018.5-$C$9/24</f>
        <v>45501.084092121317</v>
      </c>
    </row>
    <row r="19" spans="1:17" ht="13.5" thickTop="1" x14ac:dyDescent="0.2">
      <c r="A19" s="24" t="s">
        <v>35</v>
      </c>
      <c r="E19" s="25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43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28857.146000000001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1.4172322152818106E-7</v>
      </c>
      <c r="Q21" s="2">
        <f>+C21-15018.5</f>
        <v>13838.646000000001</v>
      </c>
    </row>
    <row r="22" spans="1:17" x14ac:dyDescent="0.2">
      <c r="A22" s="10" t="s">
        <v>38</v>
      </c>
      <c r="B22" s="3" t="s">
        <v>39</v>
      </c>
      <c r="C22" s="10">
        <v>42771.101199999997</v>
      </c>
      <c r="D22" s="27"/>
      <c r="E22">
        <f>+(C22-C$7)/C$8</f>
        <v>12851.982993282105</v>
      </c>
      <c r="F22">
        <f>ROUND(2*E22,0)/2</f>
        <v>12852</v>
      </c>
      <c r="G22">
        <f>+C22-(C$7+F22*C$8)</f>
        <v>-1.8411999997624662E-2</v>
      </c>
      <c r="I22">
        <f>+G22</f>
        <v>-1.8411999997624662E-2</v>
      </c>
      <c r="O22">
        <f ca="1">+C$11+C$12*$F22</f>
        <v>-1.8743310237771184E-2</v>
      </c>
      <c r="Q22" s="2">
        <f>+C22-15018.5</f>
        <v>27752.601199999997</v>
      </c>
    </row>
    <row r="23" spans="1:17" x14ac:dyDescent="0.2">
      <c r="A23" s="10" t="s">
        <v>38</v>
      </c>
      <c r="B23" s="3" t="s">
        <v>40</v>
      </c>
      <c r="C23" s="10">
        <v>42777.055</v>
      </c>
      <c r="D23" s="27"/>
      <c r="E23">
        <f>+(C23-C$7)/C$8</f>
        <v>12857.482373957517</v>
      </c>
      <c r="F23">
        <f>ROUND(2*E23,0)/2</f>
        <v>12857.5</v>
      </c>
      <c r="G23">
        <f>+C23-(C$7+F23*C$8)</f>
        <v>-1.9082499995420221E-2</v>
      </c>
      <c r="I23">
        <f>+G23</f>
        <v>-1.9082499995420221E-2</v>
      </c>
      <c r="O23">
        <f ca="1">+C$11+C$12*$F23</f>
        <v>-1.8751331478495233E-2</v>
      </c>
      <c r="Q23" s="2">
        <f>+C23-15018.5</f>
        <v>27758.555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2024-07-27T05:37:14Z</dcterms:modified>
</cp:coreProperties>
</file>