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AEAFEA4-6FE2-40A5-AF65-3C458555EFA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2" i="1"/>
  <c r="Q23" i="1"/>
  <c r="Q24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7" i="1"/>
  <c r="Q49" i="1"/>
  <c r="Q50" i="1"/>
  <c r="Q51" i="1"/>
  <c r="Q52" i="1"/>
  <c r="Q53" i="1"/>
  <c r="Q55" i="1"/>
  <c r="Q56" i="1"/>
  <c r="Q57" i="1"/>
  <c r="G45" i="2"/>
  <c r="C45" i="2"/>
  <c r="G44" i="2"/>
  <c r="C44" i="2"/>
  <c r="G43" i="2"/>
  <c r="C43" i="2"/>
  <c r="G12" i="2"/>
  <c r="C12" i="2"/>
  <c r="G42" i="2"/>
  <c r="C42" i="2"/>
  <c r="G41" i="2"/>
  <c r="C41" i="2"/>
  <c r="G40" i="2"/>
  <c r="C40" i="2"/>
  <c r="G39" i="2"/>
  <c r="C39" i="2"/>
  <c r="G38" i="2"/>
  <c r="C38" i="2"/>
  <c r="G11" i="2"/>
  <c r="C11" i="2"/>
  <c r="E11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H45" i="2"/>
  <c r="D45" i="2"/>
  <c r="B45" i="2"/>
  <c r="A45" i="2"/>
  <c r="H44" i="2"/>
  <c r="D44" i="2"/>
  <c r="B44" i="2"/>
  <c r="A44" i="2"/>
  <c r="H43" i="2"/>
  <c r="D43" i="2"/>
  <c r="B43" i="2"/>
  <c r="A43" i="2"/>
  <c r="H12" i="2"/>
  <c r="D12" i="2"/>
  <c r="B12" i="2"/>
  <c r="A12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11" i="2"/>
  <c r="D11" i="2"/>
  <c r="B11" i="2"/>
  <c r="A11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F16" i="1"/>
  <c r="C17" i="1"/>
  <c r="Q54" i="1"/>
  <c r="Q46" i="1"/>
  <c r="Q48" i="1"/>
  <c r="C8" i="1"/>
  <c r="C7" i="1"/>
  <c r="E48" i="1"/>
  <c r="F48" i="1"/>
  <c r="Q25" i="1"/>
  <c r="E17" i="2"/>
  <c r="E23" i="2"/>
  <c r="E30" i="2"/>
  <c r="E36" i="2"/>
  <c r="E12" i="2"/>
  <c r="E26" i="2"/>
  <c r="E13" i="2"/>
  <c r="E38" i="2"/>
  <c r="E43" i="2"/>
  <c r="E20" i="2"/>
  <c r="E15" i="2"/>
  <c r="E21" i="2"/>
  <c r="E45" i="2"/>
  <c r="E22" i="2"/>
  <c r="E24" i="2"/>
  <c r="E32" i="1"/>
  <c r="F32" i="1"/>
  <c r="E56" i="1"/>
  <c r="F56" i="1"/>
  <c r="E53" i="1"/>
  <c r="F53" i="1"/>
  <c r="G41" i="1"/>
  <c r="I41" i="1"/>
  <c r="G39" i="1"/>
  <c r="I39" i="1"/>
  <c r="G31" i="1"/>
  <c r="I31" i="1"/>
  <c r="G45" i="1"/>
  <c r="I45" i="1"/>
  <c r="G23" i="1"/>
  <c r="I23" i="1"/>
  <c r="G21" i="1"/>
  <c r="G46" i="1"/>
  <c r="I46" i="1"/>
  <c r="G57" i="1"/>
  <c r="I57" i="1"/>
  <c r="E50" i="1"/>
  <c r="F50" i="1"/>
  <c r="G50" i="1"/>
  <c r="I50" i="1"/>
  <c r="E44" i="1"/>
  <c r="F44" i="1"/>
  <c r="G44" i="1"/>
  <c r="I44" i="1"/>
  <c r="E41" i="1"/>
  <c r="F41" i="1"/>
  <c r="E39" i="1"/>
  <c r="F39" i="1"/>
  <c r="E36" i="1"/>
  <c r="F36" i="1"/>
  <c r="G36" i="1"/>
  <c r="I36" i="1"/>
  <c r="E34" i="1"/>
  <c r="F34" i="1"/>
  <c r="G34" i="1"/>
  <c r="I34" i="1"/>
  <c r="E31" i="1"/>
  <c r="F31" i="1"/>
  <c r="E45" i="1"/>
  <c r="F45" i="1"/>
  <c r="E38" i="1"/>
  <c r="F38" i="1"/>
  <c r="G38" i="1"/>
  <c r="I38" i="1"/>
  <c r="E27" i="1"/>
  <c r="F27" i="1"/>
  <c r="G27" i="1"/>
  <c r="I27" i="1"/>
  <c r="E23" i="1"/>
  <c r="F23" i="1"/>
  <c r="E21" i="1"/>
  <c r="F21" i="1"/>
  <c r="E30" i="1"/>
  <c r="F30" i="1"/>
  <c r="G30" i="1"/>
  <c r="I30" i="1"/>
  <c r="E25" i="1"/>
  <c r="F25" i="1"/>
  <c r="G25" i="1"/>
  <c r="H25" i="1"/>
  <c r="E46" i="1"/>
  <c r="F46" i="1"/>
  <c r="E57" i="1"/>
  <c r="F57" i="1"/>
  <c r="E55" i="1"/>
  <c r="F55" i="1"/>
  <c r="G55" i="1"/>
  <c r="I55" i="1"/>
  <c r="E52" i="1"/>
  <c r="F52" i="1"/>
  <c r="G52" i="1"/>
  <c r="I52" i="1"/>
  <c r="G49" i="1"/>
  <c r="I49" i="1"/>
  <c r="G42" i="1"/>
  <c r="I42" i="1"/>
  <c r="G40" i="1"/>
  <c r="I40" i="1"/>
  <c r="G35" i="1"/>
  <c r="I35" i="1"/>
  <c r="G33" i="1"/>
  <c r="I33" i="1"/>
  <c r="G24" i="1"/>
  <c r="I24" i="1"/>
  <c r="G26" i="1"/>
  <c r="I26" i="1"/>
  <c r="G47" i="1"/>
  <c r="I47" i="1"/>
  <c r="G22" i="1"/>
  <c r="I22" i="1"/>
  <c r="G29" i="1"/>
  <c r="I29" i="1"/>
  <c r="G54" i="1"/>
  <c r="K54" i="1"/>
  <c r="G48" i="1"/>
  <c r="I48" i="1"/>
  <c r="G32" i="1"/>
  <c r="I32" i="1"/>
  <c r="G56" i="1"/>
  <c r="I56" i="1"/>
  <c r="G53" i="1"/>
  <c r="I53" i="1"/>
  <c r="E51" i="1"/>
  <c r="F51" i="1"/>
  <c r="U51" i="1"/>
  <c r="E49" i="1"/>
  <c r="F49" i="1"/>
  <c r="E42" i="1"/>
  <c r="F42" i="1"/>
  <c r="E40" i="1"/>
  <c r="F40" i="1"/>
  <c r="E37" i="1"/>
  <c r="F37" i="1"/>
  <c r="G37" i="1"/>
  <c r="I37" i="1"/>
  <c r="E35" i="1"/>
  <c r="F35" i="1"/>
  <c r="E33" i="1"/>
  <c r="F33" i="1"/>
  <c r="E24" i="1"/>
  <c r="F24" i="1"/>
  <c r="E43" i="1"/>
  <c r="F43" i="1"/>
  <c r="G43" i="1"/>
  <c r="I43" i="1"/>
  <c r="E26" i="1"/>
  <c r="F26" i="1"/>
  <c r="E47" i="1"/>
  <c r="F47" i="1"/>
  <c r="E22" i="1"/>
  <c r="F22" i="1"/>
  <c r="E28" i="1"/>
  <c r="F28" i="1"/>
  <c r="G28" i="1"/>
  <c r="I28" i="1"/>
  <c r="E29" i="1"/>
  <c r="F29" i="1"/>
  <c r="E54" i="1"/>
  <c r="F54" i="1"/>
  <c r="E31" i="2"/>
  <c r="E25" i="2"/>
  <c r="E29" i="2"/>
  <c r="E44" i="2"/>
  <c r="E14" i="2"/>
  <c r="E18" i="2"/>
  <c r="E16" i="2"/>
  <c r="E28" i="2"/>
  <c r="E39" i="2"/>
  <c r="E32" i="2"/>
  <c r="E40" i="2"/>
  <c r="E34" i="2"/>
  <c r="E42" i="2"/>
  <c r="E41" i="2"/>
  <c r="E27" i="2"/>
  <c r="E33" i="2"/>
  <c r="E37" i="2"/>
  <c r="E35" i="2"/>
  <c r="I21" i="1"/>
  <c r="E19" i="2"/>
  <c r="C12" i="1"/>
  <c r="C11" i="1"/>
  <c r="O39" i="1" l="1"/>
  <c r="O36" i="1"/>
  <c r="O37" i="1"/>
  <c r="O30" i="1"/>
  <c r="O48" i="1"/>
  <c r="O56" i="1"/>
  <c r="O27" i="1"/>
  <c r="O52" i="1"/>
  <c r="O21" i="1"/>
  <c r="O33" i="1"/>
  <c r="O43" i="1"/>
  <c r="O40" i="1"/>
  <c r="O41" i="1"/>
  <c r="O34" i="1"/>
  <c r="O46" i="1"/>
  <c r="O23" i="1"/>
  <c r="O29" i="1"/>
  <c r="O26" i="1"/>
  <c r="O49" i="1"/>
  <c r="O44" i="1"/>
  <c r="O45" i="1"/>
  <c r="O38" i="1"/>
  <c r="O47" i="1"/>
  <c r="O24" i="1"/>
  <c r="O28" i="1"/>
  <c r="O35" i="1"/>
  <c r="O32" i="1"/>
  <c r="O25" i="1"/>
  <c r="C15" i="1"/>
  <c r="F18" i="1" s="1"/>
  <c r="O53" i="1"/>
  <c r="O50" i="1"/>
  <c r="O51" i="1"/>
  <c r="O42" i="1"/>
  <c r="O55" i="1"/>
  <c r="O54" i="1"/>
  <c r="O31" i="1"/>
  <c r="O57" i="1"/>
  <c r="O22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<sst xmlns="http://schemas.openxmlformats.org/spreadsheetml/2006/main" count="412" uniqueCount="200">
  <si>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</si>
  <si>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</si>
  <si>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</si>
  <si>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</si>
  <si>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</si>
  <si>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</si>
  <si>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</si>
  <si>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</si>
  <si>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</si>
  <si>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</si>
  <si>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</si>
  <si>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</si>
  <si>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</si>
  <si>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</si>
  <si>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</si>
  <si>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</si>
  <si>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</si>
  <si>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</si>
  <si>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</si>
  <si>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</si>
  <si>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</si>
  <si>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</si>
  <si>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</si>
  <si>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</si>
  <si>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</si>
  <si>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</si>
  <si>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</si>
  <si>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</si>
  <si>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</si>
  <si>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</si>
  <si>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</si>
  <si>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</si>
  <si>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</si>
  <si>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</si>
  <si>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</si>
  <si>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AQ Cas / GSC 4034-0731</t>
  </si>
  <si>
    <t>IBVS 5931</t>
  </si>
  <si>
    <t>I</t>
  </si>
  <si>
    <t>Kreiner 1980</t>
  </si>
  <si>
    <t>Kreiner 1980AN....301...32</t>
  </si>
  <si>
    <t>Add cycle</t>
  </si>
  <si>
    <t>Old Cycle</t>
  </si>
  <si>
    <t>EA/D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</si>
  <si>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</si>
  <si>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</si>
  <si>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</si>
  <si>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</si>
  <si>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</si>
  <si>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</si>
  <si>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</si>
  <si>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</si>
  <si>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</si>
  <si>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</si>
  <si>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</si>
  <si>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</si>
  <si>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2425567.49 </t>
  </si>
  <si>
    <t> 16.11.1928 23:45 </t>
  </si>
  <si>
    <t> -0.02 </t>
  </si>
  <si>
    <t>P </t>
  </si>
  <si>
    <t> P.Guthnick </t>
  </si>
  <si>
    <t> AN 235.83 </t>
  </si>
  <si>
    <t>2425567.51 </t>
  </si>
  <si>
    <t> 17.11.1928 00:14 </t>
  </si>
  <si>
    <t> 0.00 </t>
  </si>
  <si>
    <t>2426235.63 </t>
  </si>
  <si>
    <t> 16.09.1930 03:07 </t>
  </si>
  <si>
    <t> 0.01 </t>
  </si>
  <si>
    <t>V </t>
  </si>
  <si>
    <t> M.Beyer </t>
  </si>
  <si>
    <t> AN 258.281 </t>
  </si>
  <si>
    <t>2426282.43 </t>
  </si>
  <si>
    <t> 01.11.1930 22:19 </t>
  </si>
  <si>
    <t> -0.07 </t>
  </si>
  <si>
    <t> W.Zessewitsch </t>
  </si>
  <si>
    <t> IODE 4.1.178 </t>
  </si>
  <si>
    <t>2429669.783 </t>
  </si>
  <si>
    <t> 10.02.1940 06:47 </t>
  </si>
  <si>
    <t> -0.129 </t>
  </si>
  <si>
    <t> S.Gaposchkin </t>
  </si>
  <si>
    <t> HA 113.72 </t>
  </si>
  <si>
    <t>2433619.79 </t>
  </si>
  <si>
    <t> 04.12.1950 06:57 </t>
  </si>
  <si>
    <t> -0.15 </t>
  </si>
  <si>
    <t> S.Kaho </t>
  </si>
  <si>
    <t> BTOK 49.384 </t>
  </si>
  <si>
    <t>2434452.12 </t>
  </si>
  <si>
    <t> 15.03.1953 14:52 </t>
  </si>
  <si>
    <t> R.Szafraniec </t>
  </si>
  <si>
    <t> AAC 5.190 </t>
  </si>
  <si>
    <t>2435741.49 </t>
  </si>
  <si>
    <t> 24.09.1956 23:45 </t>
  </si>
  <si>
    <t> 0.02 </t>
  </si>
  <si>
    <t> AA 7.189 </t>
  </si>
  <si>
    <t>2436128.28 </t>
  </si>
  <si>
    <t> 16.10.1957 18:43 </t>
  </si>
  <si>
    <t> AA 8.190 </t>
  </si>
  <si>
    <t>2436597.312 </t>
  </si>
  <si>
    <t> 28.01.1959 19:29 </t>
  </si>
  <si>
    <t> 0.200 </t>
  </si>
  <si>
    <t> E.Splittgerber </t>
  </si>
  <si>
    <t> MVS 6.54 </t>
  </si>
  <si>
    <t>2436761.20 </t>
  </si>
  <si>
    <t> 11.07.1959 16:48 </t>
  </si>
  <si>
    <t> -0.01 </t>
  </si>
  <si>
    <t> AA 10.69 </t>
  </si>
  <si>
    <t>2437312.361 </t>
  </si>
  <si>
    <t> 12.01.1961 20:39 </t>
  </si>
  <si>
    <t> 0.259 </t>
  </si>
  <si>
    <t>2437347.276 </t>
  </si>
  <si>
    <t> 16.02.1961 18:37 </t>
  </si>
  <si>
    <t> 0.010 </t>
  </si>
  <si>
    <t>2438331.575 </t>
  </si>
  <si>
    <t> 29.10.1963 01:48 </t>
  </si>
  <si>
    <t> -0.267 </t>
  </si>
  <si>
    <t>2438671.494 </t>
  </si>
  <si>
    <t> 02.10.1964 23:51 </t>
  </si>
  <si>
    <t> -0.262 </t>
  </si>
  <si>
    <t>2439058.453 </t>
  </si>
  <si>
    <t> 24.10.1965 22:52 </t>
  </si>
  <si>
    <t> -0.101 </t>
  </si>
  <si>
    <t>2439058.620 </t>
  </si>
  <si>
    <t> 25.10.1965 02:52 </t>
  </si>
  <si>
    <t> 0.066 </t>
  </si>
  <si>
    <t> T.Berthold </t>
  </si>
  <si>
    <t> HABZ 57 </t>
  </si>
  <si>
    <t>2439609.345 </t>
  </si>
  <si>
    <t> 28.04.1967 20:16 </t>
  </si>
  <si>
    <t> -0.103 </t>
  </si>
  <si>
    <t>2440066.508 </t>
  </si>
  <si>
    <t> 29.07.1968 00:11 </t>
  </si>
  <si>
    <t> -0.064 </t>
  </si>
  <si>
    <t>2440101.558 </t>
  </si>
  <si>
    <t> 02.09.1968 01:23 </t>
  </si>
  <si>
    <t> -0.178 </t>
  </si>
  <si>
    <t>2440148.476 </t>
  </si>
  <si>
    <t> 18.10.1968 23:25 </t>
  </si>
  <si>
    <t> -0.144 </t>
  </si>
  <si>
    <t>2440828.472 </t>
  </si>
  <si>
    <t> 29.08.1970 23:19 </t>
  </si>
  <si>
    <t> 0.025 </t>
  </si>
  <si>
    <t>2441039.335 </t>
  </si>
  <si>
    <t> 28.03.1971 20:02 </t>
  </si>
  <si>
    <t> -0.093 </t>
  </si>
  <si>
    <t>2441596.312 </t>
  </si>
  <si>
    <t> 05.10.1972 19:29 </t>
  </si>
  <si>
    <t> 0.130 </t>
  </si>
  <si>
    <t>2442832.69 </t>
  </si>
  <si>
    <t> 24.02.1976 04:33 </t>
  </si>
  <si>
    <t> M.Winiarski </t>
  </si>
  <si>
    <t> AN 301.327 </t>
  </si>
  <si>
    <t>2443078.89 </t>
  </si>
  <si>
    <t> 27.10.1976 09:21 </t>
  </si>
  <si>
    <t>2446056.032 </t>
  </si>
  <si>
    <t> 21.12.1984 12:46 </t>
  </si>
  <si>
    <t> -0.048 </t>
  </si>
  <si>
    <t>E </t>
  </si>
  <si>
    <t>?</t>
  </si>
  <si>
    <t> E.C.Olson </t>
  </si>
  <si>
    <t> PASP 97.731 </t>
  </si>
  <si>
    <t>2451236.63 </t>
  </si>
  <si>
    <t> 27.02.1999 03:07 </t>
  </si>
  <si>
    <t> -0.20 </t>
  </si>
  <si>
    <t> R.Meyer </t>
  </si>
  <si>
    <t>BAVM 122 </t>
  </si>
  <si>
    <t>2451601.16 </t>
  </si>
  <si>
    <t> 26.02.2000 15:50 </t>
  </si>
  <si>
    <t> 0.98 </t>
  </si>
  <si>
    <t> J.Gensler </t>
  </si>
  <si>
    <t>BAVM 131 </t>
  </si>
  <si>
    <t>2451799.231 </t>
  </si>
  <si>
    <t> 11.09.2000 17:32 </t>
  </si>
  <si>
    <t> -0.213 </t>
  </si>
  <si>
    <t>BAVM 143 </t>
  </si>
  <si>
    <t>2452900.92 </t>
  </si>
  <si>
    <t> 18.09.2003 10:04 </t>
  </si>
  <si>
    <t> -0.31 </t>
  </si>
  <si>
    <t>BAVM 171 </t>
  </si>
  <si>
    <t>2453920.9538 </t>
  </si>
  <si>
    <t> 04.07.2006 10:53 </t>
  </si>
  <si>
    <t> -0.0179 </t>
  </si>
  <si>
    <t>C </t>
  </si>
  <si>
    <t> P.Zasche (ESA INTEGRAL) </t>
  </si>
  <si>
    <t>IBVS 5931 </t>
  </si>
  <si>
    <t>2454002.874 </t>
  </si>
  <si>
    <t> 24.09.2006 08:58 </t>
  </si>
  <si>
    <t> -0.146 </t>
  </si>
  <si>
    <t>BAVM 192 </t>
  </si>
  <si>
    <t>2455081.3180 </t>
  </si>
  <si>
    <t> 06.09.2009 19:37 </t>
  </si>
  <si>
    <t> -0.0476 </t>
  </si>
  <si>
    <t>-I</t>
  </si>
  <si>
    <t> F.Agerer </t>
  </si>
  <si>
    <t>BAVM 212 </t>
  </si>
  <si>
    <t>2455808.0400 </t>
  </si>
  <si>
    <t> 03.09.2011 12:57 </t>
  </si>
  <si>
    <t>2519</t>
  </si>
  <si>
    <t> -0.0369 </t>
  </si>
  <si>
    <t>BAVM 225 </t>
  </si>
  <si>
    <t>II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</si>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</sst>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3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Cas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0.03</c:v>
                  </c:pt>
                  <c:pt idx="26">
                    <c:v>0</c:v>
                  </c:pt>
                  <c:pt idx="27">
                    <c:v>0.02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1.4500000000000001E-2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0.03</c:v>
                  </c:pt>
                  <c:pt idx="26">
                    <c:v>0</c:v>
                  </c:pt>
                  <c:pt idx="27">
                    <c:v>0.02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1.4500000000000001E-2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-61</c:v>
                </c:pt>
                <c:pt idx="2">
                  <c:v>-4</c:v>
                </c:pt>
                <c:pt idx="3">
                  <c:v>0</c:v>
                </c:pt>
                <c:pt idx="4">
                  <c:v>0</c:v>
                </c:pt>
                <c:pt idx="5">
                  <c:v>289</c:v>
                </c:pt>
                <c:pt idx="6">
                  <c:v>626</c:v>
                </c:pt>
                <c:pt idx="7">
                  <c:v>697</c:v>
                </c:pt>
                <c:pt idx="8">
                  <c:v>807</c:v>
                </c:pt>
                <c:pt idx="9">
                  <c:v>840</c:v>
                </c:pt>
                <c:pt idx="10">
                  <c:v>880</c:v>
                </c:pt>
                <c:pt idx="11">
                  <c:v>894</c:v>
                </c:pt>
                <c:pt idx="12">
                  <c:v>941</c:v>
                </c:pt>
                <c:pt idx="13">
                  <c:v>944</c:v>
                </c:pt>
                <c:pt idx="14">
                  <c:v>1028</c:v>
                </c:pt>
                <c:pt idx="15">
                  <c:v>1057</c:v>
                </c:pt>
                <c:pt idx="16">
                  <c:v>1090</c:v>
                </c:pt>
                <c:pt idx="17">
                  <c:v>1090</c:v>
                </c:pt>
                <c:pt idx="18">
                  <c:v>1137</c:v>
                </c:pt>
                <c:pt idx="19">
                  <c:v>1176</c:v>
                </c:pt>
                <c:pt idx="20">
                  <c:v>1179</c:v>
                </c:pt>
                <c:pt idx="21">
                  <c:v>1183</c:v>
                </c:pt>
                <c:pt idx="22">
                  <c:v>1241</c:v>
                </c:pt>
                <c:pt idx="23">
                  <c:v>1259</c:v>
                </c:pt>
                <c:pt idx="24">
                  <c:v>1306.5</c:v>
                </c:pt>
                <c:pt idx="25">
                  <c:v>1412</c:v>
                </c:pt>
                <c:pt idx="26">
                  <c:v>1412</c:v>
                </c:pt>
                <c:pt idx="27">
                  <c:v>1433</c:v>
                </c:pt>
                <c:pt idx="28">
                  <c:v>1687</c:v>
                </c:pt>
                <c:pt idx="29">
                  <c:v>2129</c:v>
                </c:pt>
                <c:pt idx="30">
                  <c:v>2160</c:v>
                </c:pt>
                <c:pt idx="31">
                  <c:v>2177</c:v>
                </c:pt>
                <c:pt idx="32">
                  <c:v>2271</c:v>
                </c:pt>
                <c:pt idx="33">
                  <c:v>2358</c:v>
                </c:pt>
                <c:pt idx="34">
                  <c:v>2365</c:v>
                </c:pt>
                <c:pt idx="35">
                  <c:v>2457</c:v>
                </c:pt>
                <c:pt idx="36">
                  <c:v>2519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B1-4E8C-BC3D-1BDF64D0B80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0.03</c:v>
                  </c:pt>
                  <c:pt idx="26">
                    <c:v>0</c:v>
                  </c:pt>
                  <c:pt idx="27">
                    <c:v>0.02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1.4500000000000001E-2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0.03</c:v>
                  </c:pt>
                  <c:pt idx="26">
                    <c:v>0</c:v>
                  </c:pt>
                  <c:pt idx="27">
                    <c:v>0.02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1.4500000000000001E-2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-61</c:v>
                </c:pt>
                <c:pt idx="2">
                  <c:v>-4</c:v>
                </c:pt>
                <c:pt idx="3">
                  <c:v>0</c:v>
                </c:pt>
                <c:pt idx="4">
                  <c:v>0</c:v>
                </c:pt>
                <c:pt idx="5">
                  <c:v>289</c:v>
                </c:pt>
                <c:pt idx="6">
                  <c:v>626</c:v>
                </c:pt>
                <c:pt idx="7">
                  <c:v>697</c:v>
                </c:pt>
                <c:pt idx="8">
                  <c:v>807</c:v>
                </c:pt>
                <c:pt idx="9">
                  <c:v>840</c:v>
                </c:pt>
                <c:pt idx="10">
                  <c:v>880</c:v>
                </c:pt>
                <c:pt idx="11">
                  <c:v>894</c:v>
                </c:pt>
                <c:pt idx="12">
                  <c:v>941</c:v>
                </c:pt>
                <c:pt idx="13">
                  <c:v>944</c:v>
                </c:pt>
                <c:pt idx="14">
                  <c:v>1028</c:v>
                </c:pt>
                <c:pt idx="15">
                  <c:v>1057</c:v>
                </c:pt>
                <c:pt idx="16">
                  <c:v>1090</c:v>
                </c:pt>
                <c:pt idx="17">
                  <c:v>1090</c:v>
                </c:pt>
                <c:pt idx="18">
                  <c:v>1137</c:v>
                </c:pt>
                <c:pt idx="19">
                  <c:v>1176</c:v>
                </c:pt>
                <c:pt idx="20">
                  <c:v>1179</c:v>
                </c:pt>
                <c:pt idx="21">
                  <c:v>1183</c:v>
                </c:pt>
                <c:pt idx="22">
                  <c:v>1241</c:v>
                </c:pt>
                <c:pt idx="23">
                  <c:v>1259</c:v>
                </c:pt>
                <c:pt idx="24">
                  <c:v>1306.5</c:v>
                </c:pt>
                <c:pt idx="25">
                  <c:v>1412</c:v>
                </c:pt>
                <c:pt idx="26">
                  <c:v>1412</c:v>
                </c:pt>
                <c:pt idx="27">
                  <c:v>1433</c:v>
                </c:pt>
                <c:pt idx="28">
                  <c:v>1687</c:v>
                </c:pt>
                <c:pt idx="29">
                  <c:v>2129</c:v>
                </c:pt>
                <c:pt idx="30">
                  <c:v>2160</c:v>
                </c:pt>
                <c:pt idx="31">
                  <c:v>2177</c:v>
                </c:pt>
                <c:pt idx="32">
                  <c:v>2271</c:v>
                </c:pt>
                <c:pt idx="33">
                  <c:v>2358</c:v>
                </c:pt>
                <c:pt idx="34">
                  <c:v>2365</c:v>
                </c:pt>
                <c:pt idx="35">
                  <c:v>2457</c:v>
                </c:pt>
                <c:pt idx="36">
                  <c:v>2519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-1.9849999996949919E-2</c:v>
                </c:pt>
                <c:pt idx="1">
                  <c:v>1.4999999984866008E-4</c:v>
                </c:pt>
                <c:pt idx="2">
                  <c:v>1.4600000002246816E-2</c:v>
                </c:pt>
                <c:pt idx="3">
                  <c:v>-6.9999999999708962E-2</c:v>
                </c:pt>
                <c:pt idx="5">
                  <c:v>-0.12934999999924912</c:v>
                </c:pt>
                <c:pt idx="6">
                  <c:v>-0.14989999999670545</c:v>
                </c:pt>
                <c:pt idx="7">
                  <c:v>-2.1549999997660052E-2</c:v>
                </c:pt>
                <c:pt idx="8">
                  <c:v>2.1950000002107117E-2</c:v>
                </c:pt>
                <c:pt idx="9">
                  <c:v>1.3999999995576218E-2</c:v>
                </c:pt>
                <c:pt idx="10">
                  <c:v>0.19999999999708962</c:v>
                </c:pt>
                <c:pt idx="11">
                  <c:v>-8.1000000063795596E-3</c:v>
                </c:pt>
                <c:pt idx="12">
                  <c:v>0.2588499999983469</c:v>
                </c:pt>
                <c:pt idx="13">
                  <c:v>1.0399999999208376E-2</c:v>
                </c:pt>
                <c:pt idx="14">
                  <c:v>-0.26720000000204891</c:v>
                </c:pt>
                <c:pt idx="15">
                  <c:v>-0.26155000000289874</c:v>
                </c:pt>
                <c:pt idx="16">
                  <c:v>-0.10050000000046566</c:v>
                </c:pt>
                <c:pt idx="17">
                  <c:v>6.6500000000814907E-2</c:v>
                </c:pt>
                <c:pt idx="18">
                  <c:v>-0.10254999999597203</c:v>
                </c:pt>
                <c:pt idx="19">
                  <c:v>-6.4399999995657708E-2</c:v>
                </c:pt>
                <c:pt idx="20">
                  <c:v>-0.17785000000003492</c:v>
                </c:pt>
                <c:pt idx="21">
                  <c:v>-0.14444999999977881</c:v>
                </c:pt>
                <c:pt idx="22">
                  <c:v>2.4850000001606531E-2</c:v>
                </c:pt>
                <c:pt idx="23">
                  <c:v>-9.285000000090804E-2</c:v>
                </c:pt>
                <c:pt idx="24">
                  <c:v>0.12952499999664724</c:v>
                </c:pt>
                <c:pt idx="25">
                  <c:v>-0.144800000001851</c:v>
                </c:pt>
                <c:pt idx="26">
                  <c:v>-7.3799999998300336E-2</c:v>
                </c:pt>
                <c:pt idx="27">
                  <c:v>-1.795000000129221E-2</c:v>
                </c:pt>
                <c:pt idx="28">
                  <c:v>-4.8050000004877802E-2</c:v>
                </c:pt>
                <c:pt idx="29">
                  <c:v>-0.19834999999875436</c:v>
                </c:pt>
                <c:pt idx="31">
                  <c:v>-0.21254999999655411</c:v>
                </c:pt>
                <c:pt idx="32">
                  <c:v>-0.31165000000328291</c:v>
                </c:pt>
                <c:pt idx="34">
                  <c:v>-0.14574999999604188</c:v>
                </c:pt>
                <c:pt idx="35">
                  <c:v>-4.7550000002956949E-2</c:v>
                </c:pt>
                <c:pt idx="36">
                  <c:v>-3.6849999996775296E-2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B1-4E8C-BC3D-1BDF64D0B80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0.03</c:v>
                  </c:pt>
                  <c:pt idx="26">
                    <c:v>0</c:v>
                  </c:pt>
                  <c:pt idx="27">
                    <c:v>0.02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1.4500000000000001E-2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0.03</c:v>
                  </c:pt>
                  <c:pt idx="26">
                    <c:v>0</c:v>
                  </c:pt>
                  <c:pt idx="27">
                    <c:v>0.02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1.4500000000000001E-2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-61</c:v>
                </c:pt>
                <c:pt idx="2">
                  <c:v>-4</c:v>
                </c:pt>
                <c:pt idx="3">
                  <c:v>0</c:v>
                </c:pt>
                <c:pt idx="4">
                  <c:v>0</c:v>
                </c:pt>
                <c:pt idx="5">
                  <c:v>289</c:v>
                </c:pt>
                <c:pt idx="6">
                  <c:v>626</c:v>
                </c:pt>
                <c:pt idx="7">
                  <c:v>697</c:v>
                </c:pt>
                <c:pt idx="8">
                  <c:v>807</c:v>
                </c:pt>
                <c:pt idx="9">
                  <c:v>840</c:v>
                </c:pt>
                <c:pt idx="10">
                  <c:v>880</c:v>
                </c:pt>
                <c:pt idx="11">
                  <c:v>894</c:v>
                </c:pt>
                <c:pt idx="12">
                  <c:v>941</c:v>
                </c:pt>
                <c:pt idx="13">
                  <c:v>944</c:v>
                </c:pt>
                <c:pt idx="14">
                  <c:v>1028</c:v>
                </c:pt>
                <c:pt idx="15">
                  <c:v>1057</c:v>
                </c:pt>
                <c:pt idx="16">
                  <c:v>1090</c:v>
                </c:pt>
                <c:pt idx="17">
                  <c:v>1090</c:v>
                </c:pt>
                <c:pt idx="18">
                  <c:v>1137</c:v>
                </c:pt>
                <c:pt idx="19">
                  <c:v>1176</c:v>
                </c:pt>
                <c:pt idx="20">
                  <c:v>1179</c:v>
                </c:pt>
                <c:pt idx="21">
                  <c:v>1183</c:v>
                </c:pt>
                <c:pt idx="22">
                  <c:v>1241</c:v>
                </c:pt>
                <c:pt idx="23">
                  <c:v>1259</c:v>
                </c:pt>
                <c:pt idx="24">
                  <c:v>1306.5</c:v>
                </c:pt>
                <c:pt idx="25">
                  <c:v>1412</c:v>
                </c:pt>
                <c:pt idx="26">
                  <c:v>1412</c:v>
                </c:pt>
                <c:pt idx="27">
                  <c:v>1433</c:v>
                </c:pt>
                <c:pt idx="28">
                  <c:v>1687</c:v>
                </c:pt>
                <c:pt idx="29">
                  <c:v>2129</c:v>
                </c:pt>
                <c:pt idx="30">
                  <c:v>2160</c:v>
                </c:pt>
                <c:pt idx="31">
                  <c:v>2177</c:v>
                </c:pt>
                <c:pt idx="32">
                  <c:v>2271</c:v>
                </c:pt>
                <c:pt idx="33">
                  <c:v>2358</c:v>
                </c:pt>
                <c:pt idx="34">
                  <c:v>2365</c:v>
                </c:pt>
                <c:pt idx="35">
                  <c:v>2457</c:v>
                </c:pt>
                <c:pt idx="36">
                  <c:v>2519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B1-4E8C-BC3D-1BDF64D0B80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0.03</c:v>
                  </c:pt>
                  <c:pt idx="26">
                    <c:v>0</c:v>
                  </c:pt>
                  <c:pt idx="27">
                    <c:v>0.02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1.4500000000000001E-2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0.03</c:v>
                  </c:pt>
                  <c:pt idx="26">
                    <c:v>0</c:v>
                  </c:pt>
                  <c:pt idx="27">
                    <c:v>0.02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1.4500000000000001E-2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-61</c:v>
                </c:pt>
                <c:pt idx="2">
                  <c:v>-4</c:v>
                </c:pt>
                <c:pt idx="3">
                  <c:v>0</c:v>
                </c:pt>
                <c:pt idx="4">
                  <c:v>0</c:v>
                </c:pt>
                <c:pt idx="5">
                  <c:v>289</c:v>
                </c:pt>
                <c:pt idx="6">
                  <c:v>626</c:v>
                </c:pt>
                <c:pt idx="7">
                  <c:v>697</c:v>
                </c:pt>
                <c:pt idx="8">
                  <c:v>807</c:v>
                </c:pt>
                <c:pt idx="9">
                  <c:v>840</c:v>
                </c:pt>
                <c:pt idx="10">
                  <c:v>880</c:v>
                </c:pt>
                <c:pt idx="11">
                  <c:v>894</c:v>
                </c:pt>
                <c:pt idx="12">
                  <c:v>941</c:v>
                </c:pt>
                <c:pt idx="13">
                  <c:v>944</c:v>
                </c:pt>
                <c:pt idx="14">
                  <c:v>1028</c:v>
                </c:pt>
                <c:pt idx="15">
                  <c:v>1057</c:v>
                </c:pt>
                <c:pt idx="16">
                  <c:v>1090</c:v>
                </c:pt>
                <c:pt idx="17">
                  <c:v>1090</c:v>
                </c:pt>
                <c:pt idx="18">
                  <c:v>1137</c:v>
                </c:pt>
                <c:pt idx="19">
                  <c:v>1176</c:v>
                </c:pt>
                <c:pt idx="20">
                  <c:v>1179</c:v>
                </c:pt>
                <c:pt idx="21">
                  <c:v>1183</c:v>
                </c:pt>
                <c:pt idx="22">
                  <c:v>1241</c:v>
                </c:pt>
                <c:pt idx="23">
                  <c:v>1259</c:v>
                </c:pt>
                <c:pt idx="24">
                  <c:v>1306.5</c:v>
                </c:pt>
                <c:pt idx="25">
                  <c:v>1412</c:v>
                </c:pt>
                <c:pt idx="26">
                  <c:v>1412</c:v>
                </c:pt>
                <c:pt idx="27">
                  <c:v>1433</c:v>
                </c:pt>
                <c:pt idx="28">
                  <c:v>1687</c:v>
                </c:pt>
                <c:pt idx="29">
                  <c:v>2129</c:v>
                </c:pt>
                <c:pt idx="30">
                  <c:v>2160</c:v>
                </c:pt>
                <c:pt idx="31">
                  <c:v>2177</c:v>
                </c:pt>
                <c:pt idx="32">
                  <c:v>2271</c:v>
                </c:pt>
                <c:pt idx="33">
                  <c:v>2358</c:v>
                </c:pt>
                <c:pt idx="34">
                  <c:v>2365</c:v>
                </c:pt>
                <c:pt idx="35">
                  <c:v>2457</c:v>
                </c:pt>
                <c:pt idx="36">
                  <c:v>2519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3">
                  <c:v>-1.789999999164138E-2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B1-4E8C-BC3D-1BDF64D0B80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0.03</c:v>
                  </c:pt>
                  <c:pt idx="26">
                    <c:v>0</c:v>
                  </c:pt>
                  <c:pt idx="27">
                    <c:v>0.02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1.4500000000000001E-2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0.03</c:v>
                  </c:pt>
                  <c:pt idx="26">
                    <c:v>0</c:v>
                  </c:pt>
                  <c:pt idx="27">
                    <c:v>0.02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1.4500000000000001E-2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-61</c:v>
                </c:pt>
                <c:pt idx="2">
                  <c:v>-4</c:v>
                </c:pt>
                <c:pt idx="3">
                  <c:v>0</c:v>
                </c:pt>
                <c:pt idx="4">
                  <c:v>0</c:v>
                </c:pt>
                <c:pt idx="5">
                  <c:v>289</c:v>
                </c:pt>
                <c:pt idx="6">
                  <c:v>626</c:v>
                </c:pt>
                <c:pt idx="7">
                  <c:v>697</c:v>
                </c:pt>
                <c:pt idx="8">
                  <c:v>807</c:v>
                </c:pt>
                <c:pt idx="9">
                  <c:v>840</c:v>
                </c:pt>
                <c:pt idx="10">
                  <c:v>880</c:v>
                </c:pt>
                <c:pt idx="11">
                  <c:v>894</c:v>
                </c:pt>
                <c:pt idx="12">
                  <c:v>941</c:v>
                </c:pt>
                <c:pt idx="13">
                  <c:v>944</c:v>
                </c:pt>
                <c:pt idx="14">
                  <c:v>1028</c:v>
                </c:pt>
                <c:pt idx="15">
                  <c:v>1057</c:v>
                </c:pt>
                <c:pt idx="16">
                  <c:v>1090</c:v>
                </c:pt>
                <c:pt idx="17">
                  <c:v>1090</c:v>
                </c:pt>
                <c:pt idx="18">
                  <c:v>1137</c:v>
                </c:pt>
                <c:pt idx="19">
                  <c:v>1176</c:v>
                </c:pt>
                <c:pt idx="20">
                  <c:v>1179</c:v>
                </c:pt>
                <c:pt idx="21">
                  <c:v>1183</c:v>
                </c:pt>
                <c:pt idx="22">
                  <c:v>1241</c:v>
                </c:pt>
                <c:pt idx="23">
                  <c:v>1259</c:v>
                </c:pt>
                <c:pt idx="24">
                  <c:v>1306.5</c:v>
                </c:pt>
                <c:pt idx="25">
                  <c:v>1412</c:v>
                </c:pt>
                <c:pt idx="26">
                  <c:v>1412</c:v>
                </c:pt>
                <c:pt idx="27">
                  <c:v>1433</c:v>
                </c:pt>
                <c:pt idx="28">
                  <c:v>1687</c:v>
                </c:pt>
                <c:pt idx="29">
                  <c:v>2129</c:v>
                </c:pt>
                <c:pt idx="30">
                  <c:v>2160</c:v>
                </c:pt>
                <c:pt idx="31">
                  <c:v>2177</c:v>
                </c:pt>
                <c:pt idx="32">
                  <c:v>2271</c:v>
                </c:pt>
                <c:pt idx="33">
                  <c:v>2358</c:v>
                </c:pt>
                <c:pt idx="34">
                  <c:v>2365</c:v>
                </c:pt>
                <c:pt idx="35">
                  <c:v>2457</c:v>
                </c:pt>
                <c:pt idx="36">
                  <c:v>2519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B1-4E8C-BC3D-1BDF64D0B8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0.03</c:v>
                  </c:pt>
                  <c:pt idx="26">
                    <c:v>0</c:v>
                  </c:pt>
                  <c:pt idx="27">
                    <c:v>0.02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1.4500000000000001E-2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0.03</c:v>
                  </c:pt>
                  <c:pt idx="26">
                    <c:v>0</c:v>
                  </c:pt>
                  <c:pt idx="27">
                    <c:v>0.02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1.4500000000000001E-2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-61</c:v>
                </c:pt>
                <c:pt idx="2">
                  <c:v>-4</c:v>
                </c:pt>
                <c:pt idx="3">
                  <c:v>0</c:v>
                </c:pt>
                <c:pt idx="4">
                  <c:v>0</c:v>
                </c:pt>
                <c:pt idx="5">
                  <c:v>289</c:v>
                </c:pt>
                <c:pt idx="6">
                  <c:v>626</c:v>
                </c:pt>
                <c:pt idx="7">
                  <c:v>697</c:v>
                </c:pt>
                <c:pt idx="8">
                  <c:v>807</c:v>
                </c:pt>
                <c:pt idx="9">
                  <c:v>840</c:v>
                </c:pt>
                <c:pt idx="10">
                  <c:v>880</c:v>
                </c:pt>
                <c:pt idx="11">
                  <c:v>894</c:v>
                </c:pt>
                <c:pt idx="12">
                  <c:v>941</c:v>
                </c:pt>
                <c:pt idx="13">
                  <c:v>944</c:v>
                </c:pt>
                <c:pt idx="14">
                  <c:v>1028</c:v>
                </c:pt>
                <c:pt idx="15">
                  <c:v>1057</c:v>
                </c:pt>
                <c:pt idx="16">
                  <c:v>1090</c:v>
                </c:pt>
                <c:pt idx="17">
                  <c:v>1090</c:v>
                </c:pt>
                <c:pt idx="18">
                  <c:v>1137</c:v>
                </c:pt>
                <c:pt idx="19">
                  <c:v>1176</c:v>
                </c:pt>
                <c:pt idx="20">
                  <c:v>1179</c:v>
                </c:pt>
                <c:pt idx="21">
                  <c:v>1183</c:v>
                </c:pt>
                <c:pt idx="22">
                  <c:v>1241</c:v>
                </c:pt>
                <c:pt idx="23">
                  <c:v>1259</c:v>
                </c:pt>
                <c:pt idx="24">
                  <c:v>1306.5</c:v>
                </c:pt>
                <c:pt idx="25">
                  <c:v>1412</c:v>
                </c:pt>
                <c:pt idx="26">
                  <c:v>1412</c:v>
                </c:pt>
                <c:pt idx="27">
                  <c:v>1433</c:v>
                </c:pt>
                <c:pt idx="28">
                  <c:v>1687</c:v>
                </c:pt>
                <c:pt idx="29">
                  <c:v>2129</c:v>
                </c:pt>
                <c:pt idx="30">
                  <c:v>2160</c:v>
                </c:pt>
                <c:pt idx="31">
                  <c:v>2177</c:v>
                </c:pt>
                <c:pt idx="32">
                  <c:v>2271</c:v>
                </c:pt>
                <c:pt idx="33">
                  <c:v>2358</c:v>
                </c:pt>
                <c:pt idx="34">
                  <c:v>2365</c:v>
                </c:pt>
                <c:pt idx="35">
                  <c:v>2457</c:v>
                </c:pt>
                <c:pt idx="36">
                  <c:v>2519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B1-4E8C-BC3D-1BDF64D0B8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0.03</c:v>
                  </c:pt>
                  <c:pt idx="26">
                    <c:v>0</c:v>
                  </c:pt>
                  <c:pt idx="27">
                    <c:v>0.02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1.4500000000000001E-2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0.03</c:v>
                  </c:pt>
                  <c:pt idx="26">
                    <c:v>0</c:v>
                  </c:pt>
                  <c:pt idx="27">
                    <c:v>0.02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1.4500000000000001E-2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-61</c:v>
                </c:pt>
                <c:pt idx="2">
                  <c:v>-4</c:v>
                </c:pt>
                <c:pt idx="3">
                  <c:v>0</c:v>
                </c:pt>
                <c:pt idx="4">
                  <c:v>0</c:v>
                </c:pt>
                <c:pt idx="5">
                  <c:v>289</c:v>
                </c:pt>
                <c:pt idx="6">
                  <c:v>626</c:v>
                </c:pt>
                <c:pt idx="7">
                  <c:v>697</c:v>
                </c:pt>
                <c:pt idx="8">
                  <c:v>807</c:v>
                </c:pt>
                <c:pt idx="9">
                  <c:v>840</c:v>
                </c:pt>
                <c:pt idx="10">
                  <c:v>880</c:v>
                </c:pt>
                <c:pt idx="11">
                  <c:v>894</c:v>
                </c:pt>
                <c:pt idx="12">
                  <c:v>941</c:v>
                </c:pt>
                <c:pt idx="13">
                  <c:v>944</c:v>
                </c:pt>
                <c:pt idx="14">
                  <c:v>1028</c:v>
                </c:pt>
                <c:pt idx="15">
                  <c:v>1057</c:v>
                </c:pt>
                <c:pt idx="16">
                  <c:v>1090</c:v>
                </c:pt>
                <c:pt idx="17">
                  <c:v>1090</c:v>
                </c:pt>
                <c:pt idx="18">
                  <c:v>1137</c:v>
                </c:pt>
                <c:pt idx="19">
                  <c:v>1176</c:v>
                </c:pt>
                <c:pt idx="20">
                  <c:v>1179</c:v>
                </c:pt>
                <c:pt idx="21">
                  <c:v>1183</c:v>
                </c:pt>
                <c:pt idx="22">
                  <c:v>1241</c:v>
                </c:pt>
                <c:pt idx="23">
                  <c:v>1259</c:v>
                </c:pt>
                <c:pt idx="24">
                  <c:v>1306.5</c:v>
                </c:pt>
                <c:pt idx="25">
                  <c:v>1412</c:v>
                </c:pt>
                <c:pt idx="26">
                  <c:v>1412</c:v>
                </c:pt>
                <c:pt idx="27">
                  <c:v>1433</c:v>
                </c:pt>
                <c:pt idx="28">
                  <c:v>1687</c:v>
                </c:pt>
                <c:pt idx="29">
                  <c:v>2129</c:v>
                </c:pt>
                <c:pt idx="30">
                  <c:v>2160</c:v>
                </c:pt>
                <c:pt idx="31">
                  <c:v>2177</c:v>
                </c:pt>
                <c:pt idx="32">
                  <c:v>2271</c:v>
                </c:pt>
                <c:pt idx="33">
                  <c:v>2358</c:v>
                </c:pt>
                <c:pt idx="34">
                  <c:v>2365</c:v>
                </c:pt>
                <c:pt idx="35">
                  <c:v>2457</c:v>
                </c:pt>
                <c:pt idx="36">
                  <c:v>2519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B1-4E8C-BC3D-1BDF64D0B8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-61</c:v>
                </c:pt>
                <c:pt idx="2">
                  <c:v>-4</c:v>
                </c:pt>
                <c:pt idx="3">
                  <c:v>0</c:v>
                </c:pt>
                <c:pt idx="4">
                  <c:v>0</c:v>
                </c:pt>
                <c:pt idx="5">
                  <c:v>289</c:v>
                </c:pt>
                <c:pt idx="6">
                  <c:v>626</c:v>
                </c:pt>
                <c:pt idx="7">
                  <c:v>697</c:v>
                </c:pt>
                <c:pt idx="8">
                  <c:v>807</c:v>
                </c:pt>
                <c:pt idx="9">
                  <c:v>840</c:v>
                </c:pt>
                <c:pt idx="10">
                  <c:v>880</c:v>
                </c:pt>
                <c:pt idx="11">
                  <c:v>894</c:v>
                </c:pt>
                <c:pt idx="12">
                  <c:v>941</c:v>
                </c:pt>
                <c:pt idx="13">
                  <c:v>944</c:v>
                </c:pt>
                <c:pt idx="14">
                  <c:v>1028</c:v>
                </c:pt>
                <c:pt idx="15">
                  <c:v>1057</c:v>
                </c:pt>
                <c:pt idx="16">
                  <c:v>1090</c:v>
                </c:pt>
                <c:pt idx="17">
                  <c:v>1090</c:v>
                </c:pt>
                <c:pt idx="18">
                  <c:v>1137</c:v>
                </c:pt>
                <c:pt idx="19">
                  <c:v>1176</c:v>
                </c:pt>
                <c:pt idx="20">
                  <c:v>1179</c:v>
                </c:pt>
                <c:pt idx="21">
                  <c:v>1183</c:v>
                </c:pt>
                <c:pt idx="22">
                  <c:v>1241</c:v>
                </c:pt>
                <c:pt idx="23">
                  <c:v>1259</c:v>
                </c:pt>
                <c:pt idx="24">
                  <c:v>1306.5</c:v>
                </c:pt>
                <c:pt idx="25">
                  <c:v>1412</c:v>
                </c:pt>
                <c:pt idx="26">
                  <c:v>1412</c:v>
                </c:pt>
                <c:pt idx="27">
                  <c:v>1433</c:v>
                </c:pt>
                <c:pt idx="28">
                  <c:v>1687</c:v>
                </c:pt>
                <c:pt idx="29">
                  <c:v>2129</c:v>
                </c:pt>
                <c:pt idx="30">
                  <c:v>2160</c:v>
                </c:pt>
                <c:pt idx="31">
                  <c:v>2177</c:v>
                </c:pt>
                <c:pt idx="32">
                  <c:v>2271</c:v>
                </c:pt>
                <c:pt idx="33">
                  <c:v>2358</c:v>
                </c:pt>
                <c:pt idx="34">
                  <c:v>2365</c:v>
                </c:pt>
                <c:pt idx="35">
                  <c:v>2457</c:v>
                </c:pt>
                <c:pt idx="36">
                  <c:v>2519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-2.2072098787127631E-4</c:v>
                </c:pt>
                <c:pt idx="1">
                  <c:v>-2.2072098787127631E-4</c:v>
                </c:pt>
                <c:pt idx="2">
                  <c:v>-2.9654264340145289E-3</c:v>
                </c:pt>
                <c:pt idx="3">
                  <c:v>-3.1580373425158098E-3</c:v>
                </c:pt>
                <c:pt idx="4">
                  <c:v>-3.1580373425158098E-3</c:v>
                </c:pt>
                <c:pt idx="5">
                  <c:v>-1.7074175481733355E-2</c:v>
                </c:pt>
                <c:pt idx="6">
                  <c:v>-3.3301644522966273E-2</c:v>
                </c:pt>
                <c:pt idx="7">
                  <c:v>-3.6720488148864007E-2</c:v>
                </c:pt>
                <c:pt idx="8">
                  <c:v>-4.2017288132649232E-2</c:v>
                </c:pt>
                <c:pt idx="9">
                  <c:v>-4.3606328127784796E-2</c:v>
                </c:pt>
                <c:pt idx="10">
                  <c:v>-4.5532437212797608E-2</c:v>
                </c:pt>
                <c:pt idx="11">
                  <c:v>-4.6206575392552088E-2</c:v>
                </c:pt>
                <c:pt idx="12">
                  <c:v>-4.8469753567442139E-2</c:v>
                </c:pt>
                <c:pt idx="13">
                  <c:v>-4.8614211748818102E-2</c:v>
                </c:pt>
                <c:pt idx="14">
                  <c:v>-5.2659040827345002E-2</c:v>
                </c:pt>
                <c:pt idx="15">
                  <c:v>-5.4055469913979283E-2</c:v>
                </c:pt>
                <c:pt idx="16">
                  <c:v>-5.5644509909114855E-2</c:v>
                </c:pt>
                <c:pt idx="17">
                  <c:v>-5.5644509909114855E-2</c:v>
                </c:pt>
                <c:pt idx="18">
                  <c:v>-5.7907688084004906E-2</c:v>
                </c:pt>
                <c:pt idx="19">
                  <c:v>-5.978564444189239E-2</c:v>
                </c:pt>
                <c:pt idx="20">
                  <c:v>-5.9930102623268353E-2</c:v>
                </c:pt>
                <c:pt idx="21">
                  <c:v>-6.0122713531769637E-2</c:v>
                </c:pt>
                <c:pt idx="22">
                  <c:v>-6.2915571705038198E-2</c:v>
                </c:pt>
                <c:pt idx="23">
                  <c:v>-6.3782320793293962E-2</c:v>
                </c:pt>
                <c:pt idx="24">
                  <c:v>-6.6069575331746677E-2</c:v>
                </c:pt>
                <c:pt idx="25">
                  <c:v>-7.1149688043467968E-2</c:v>
                </c:pt>
                <c:pt idx="26">
                  <c:v>-7.1149688043467968E-2</c:v>
                </c:pt>
                <c:pt idx="27">
                  <c:v>-7.2160895313099688E-2</c:v>
                </c:pt>
                <c:pt idx="28">
                  <c:v>-8.4391688002931023E-2</c:v>
                </c:pt>
                <c:pt idx="29">
                  <c:v>-0.10567519339232256</c:v>
                </c:pt>
                <c:pt idx="30">
                  <c:v>-0.10716792793320749</c:v>
                </c:pt>
                <c:pt idx="31">
                  <c:v>-0.10798652429433793</c:v>
                </c:pt>
                <c:pt idx="32">
                  <c:v>-0.11251288064411803</c:v>
                </c:pt>
                <c:pt idx="33">
                  <c:v>-0.1167021679040209</c:v>
                </c:pt>
                <c:pt idx="34">
                  <c:v>-0.11703923699389814</c:v>
                </c:pt>
                <c:pt idx="35">
                  <c:v>-0.1214692878894276</c:v>
                </c:pt>
                <c:pt idx="36">
                  <c:v>-0.12445475697119746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B1-4E8C-BC3D-1BDF64D0B809}"/>
            </c:ext>
          </c:extLst>
        </c:ser>
        <c:ser>
          <c:idx val="8"/>
          <c:order val="8"/>
          <c:tx>
            <c:strRef>
              <c:f>Active!$V$20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-61</c:v>
                </c:pt>
                <c:pt idx="1">
                  <c:v>-61</c:v>
                </c:pt>
                <c:pt idx="2">
                  <c:v>-4</c:v>
                </c:pt>
                <c:pt idx="3">
                  <c:v>0</c:v>
                </c:pt>
                <c:pt idx="4">
                  <c:v>0</c:v>
                </c:pt>
                <c:pt idx="5">
                  <c:v>289</c:v>
                </c:pt>
                <c:pt idx="6">
                  <c:v>626</c:v>
                </c:pt>
                <c:pt idx="7">
                  <c:v>697</c:v>
                </c:pt>
                <c:pt idx="8">
                  <c:v>807</c:v>
                </c:pt>
                <c:pt idx="9">
                  <c:v>840</c:v>
                </c:pt>
                <c:pt idx="10">
                  <c:v>880</c:v>
                </c:pt>
                <c:pt idx="11">
                  <c:v>894</c:v>
                </c:pt>
                <c:pt idx="12">
                  <c:v>941</c:v>
                </c:pt>
                <c:pt idx="13">
                  <c:v>944</c:v>
                </c:pt>
                <c:pt idx="14">
                  <c:v>1028</c:v>
                </c:pt>
                <c:pt idx="15">
                  <c:v>1057</c:v>
                </c:pt>
                <c:pt idx="16">
                  <c:v>1090</c:v>
                </c:pt>
                <c:pt idx="17">
                  <c:v>1090</c:v>
                </c:pt>
                <c:pt idx="18">
                  <c:v>1137</c:v>
                </c:pt>
                <c:pt idx="19">
                  <c:v>1176</c:v>
                </c:pt>
                <c:pt idx="20">
                  <c:v>1179</c:v>
                </c:pt>
                <c:pt idx="21">
                  <c:v>1183</c:v>
                </c:pt>
                <c:pt idx="22">
                  <c:v>1241</c:v>
                </c:pt>
                <c:pt idx="23">
                  <c:v>1259</c:v>
                </c:pt>
                <c:pt idx="24">
                  <c:v>1306.5</c:v>
                </c:pt>
                <c:pt idx="25">
                  <c:v>1412</c:v>
                </c:pt>
                <c:pt idx="26">
                  <c:v>1412</c:v>
                </c:pt>
                <c:pt idx="27">
                  <c:v>1433</c:v>
                </c:pt>
                <c:pt idx="28">
                  <c:v>1687</c:v>
                </c:pt>
                <c:pt idx="29">
                  <c:v>2129</c:v>
                </c:pt>
                <c:pt idx="30">
                  <c:v>2160</c:v>
                </c:pt>
                <c:pt idx="31">
                  <c:v>2177</c:v>
                </c:pt>
                <c:pt idx="32">
                  <c:v>2271</c:v>
                </c:pt>
                <c:pt idx="33">
                  <c:v>2358</c:v>
                </c:pt>
                <c:pt idx="34">
                  <c:v>2365</c:v>
                </c:pt>
                <c:pt idx="35">
                  <c:v>2457</c:v>
                </c:pt>
                <c:pt idx="36">
                  <c:v>2519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30">
                  <c:v>0.97600000000238651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B1-4E8C-BC3D-1BDF64D0B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439824"/>
        <c:axId val="1"/>
      </c:scatterChart>
      <c:valAx>
        <c:axId val="519439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439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0313BD1-13E6-7F97-98E0-A8AFEE5E1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2" TargetMode="External"/><Relationship Id="rId3" Type="http://schemas.openxmlformats.org/officeDocument/2006/relationships/hyperlink" Target="http://www.bav-astro.de/sfs/BAVM_link.php?BAVMnr=131" TargetMode="External"/><Relationship Id="rId7" Type="http://schemas.openxmlformats.org/officeDocument/2006/relationships/hyperlink" Target="http://www.bav-astro.de/sfs/BAVM_link.php?BAVMnr=192" TargetMode="External"/><Relationship Id="rId2" Type="http://schemas.openxmlformats.org/officeDocument/2006/relationships/hyperlink" Target="http://www.bav-astro.de/sfs/BAVM_link.php?BAVMnr=122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931" TargetMode="External"/><Relationship Id="rId5" Type="http://schemas.openxmlformats.org/officeDocument/2006/relationships/hyperlink" Target="http://www.bav-astro.de/sfs/BAVM_link.php?BAVMnr=171" TargetMode="External"/><Relationship Id="rId4" Type="http://schemas.openxmlformats.org/officeDocument/2006/relationships/hyperlink" Target="http://www.bav-astro.de/sfs/BAVM_link.php?BAVMnr=143" TargetMode="External"/><Relationship Id="rId9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40"/>
  <sheetViews>
    <sheetView tabSelected="1" workbookViewId="0">
      <pane xSplit="14" ySplit="21" topLeftCell="O40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35</v>
      </c>
    </row>
    <row r="2" spans="1:6">
      <c r="A2" t="s">
        <v>24</v>
      </c>
      <c r="B2" s="31" t="s">
        <v>42</v>
      </c>
      <c r="C2" s="3"/>
      <c r="D2" s="3"/>
    </row>
    <row r="3" spans="1:6" ht="13.5" thickBot="1"/>
    <row r="4" spans="1:6" ht="14.25" thickTop="1" thickBot="1">
      <c r="A4" s="5" t="s">
        <v>0</v>
      </c>
      <c r="C4" s="8">
        <v>26282.5</v>
      </c>
      <c r="D4" s="9">
        <v>11.72115</v>
      </c>
    </row>
    <row r="5" spans="1:6" ht="13.5" thickTop="1">
      <c r="A5" s="11" t="s">
        <v>29</v>
      </c>
      <c r="B5" s="12"/>
      <c r="C5" s="13">
        <v>-9.5</v>
      </c>
      <c r="D5" s="12" t="s">
        <v>30</v>
      </c>
    </row>
    <row r="6" spans="1:6">
      <c r="A6" s="5" t="s">
        <v>1</v>
      </c>
    </row>
    <row r="7" spans="1:6">
      <c r="A7" t="s">
        <v>2</v>
      </c>
      <c r="C7">
        <f>+C4</f>
        <v>26282.5</v>
      </c>
    </row>
    <row r="8" spans="1:6">
      <c r="A8" t="s">
        <v>3</v>
      </c>
      <c r="C8">
        <f>+D4</f>
        <v>11.72115</v>
      </c>
    </row>
    <row r="9" spans="1:6">
      <c r="A9" s="26" t="s">
        <v>34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>
      <c r="A10" s="12"/>
      <c r="B10" s="12"/>
      <c r="C10" s="4" t="s">
        <v>20</v>
      </c>
      <c r="D10" s="4" t="s">
        <v>21</v>
      </c>
      <c r="E10" s="12"/>
    </row>
    <row r="11" spans="1:6">
      <c r="A11" s="12" t="s">
        <v>16</v>
      </c>
      <c r="B11" s="12"/>
      <c r="C11" s="23">
        <f ca="1">INTERCEPT(INDIRECT($D$9):G992,INDIRECT($C$9):F992)</f>
        <v>-3.1580373425158098E-3</v>
      </c>
      <c r="D11" s="3"/>
      <c r="E11" s="12"/>
    </row>
    <row r="12" spans="1:6">
      <c r="A12" s="12" t="s">
        <v>17</v>
      </c>
      <c r="B12" s="12"/>
      <c r="C12" s="23">
        <f ca="1">SLOPE(INDIRECT($D$9):G992,INDIRECT($C$9):F992)</f>
        <v>-4.8152727125320223E-5</v>
      </c>
      <c r="D12" s="3"/>
      <c r="E12" s="12"/>
    </row>
    <row r="13" spans="1:6">
      <c r="A13" s="12" t="s">
        <v>19</v>
      </c>
      <c r="B13" s="12"/>
      <c r="C13" s="3" t="s">
        <v>14</v>
      </c>
    </row>
    <row r="14" spans="1:6">
      <c r="A14" s="12"/>
      <c r="B14" s="12"/>
      <c r="C14" s="12"/>
    </row>
    <row r="15" spans="1:6">
      <c r="A15" s="14" t="s">
        <v>18</v>
      </c>
      <c r="B15" s="12"/>
      <c r="C15" s="15">
        <f ca="1">(C7+C11)+(C8+C12)*INT(MAX(F21:F3533))</f>
        <v>55807.952395243032</v>
      </c>
      <c r="E15" s="16" t="s">
        <v>40</v>
      </c>
      <c r="F15" s="13">
        <v>1</v>
      </c>
    </row>
    <row r="16" spans="1:6">
      <c r="A16" s="18" t="s">
        <v>4</v>
      </c>
      <c r="B16" s="12"/>
      <c r="C16" s="19">
        <f ca="1">+C8+C12</f>
        <v>11.721101847272875</v>
      </c>
      <c r="E16" s="16" t="s">
        <v>31</v>
      </c>
      <c r="F16" s="17">
        <f ca="1">NOW()+15018.5+$C$5/24</f>
        <v>60328.636683680554</v>
      </c>
    </row>
    <row r="17" spans="1:22" ht="13.5" thickBot="1">
      <c r="A17" s="16" t="s">
        <v>28</v>
      </c>
      <c r="B17" s="12"/>
      <c r="C17" s="12">
        <f>COUNT(C21:C2191)</f>
        <v>37</v>
      </c>
      <c r="E17" s="16" t="s">
        <v>41</v>
      </c>
      <c r="F17" s="17">
        <f ca="1">ROUND(2*(F16-$C$7)/$C$8,0)/2+F15</f>
        <v>2905.5</v>
      </c>
    </row>
    <row r="18" spans="1:22" ht="14.25" thickTop="1" thickBot="1">
      <c r="A18" s="18" t="s">
        <v>5</v>
      </c>
      <c r="B18" s="12"/>
      <c r="C18" s="21">
        <f ca="1">+C15</f>
        <v>55807.952395243032</v>
      </c>
      <c r="D18" s="22">
        <f ca="1">+C16</f>
        <v>11.721101847272875</v>
      </c>
      <c r="E18" s="16" t="s">
        <v>32</v>
      </c>
      <c r="F18" s="25">
        <f ca="1">ROUND(2*(F16-$C$15)/$C$16,0)/2+F15</f>
        <v>386.5</v>
      </c>
    </row>
    <row r="19" spans="1:22" ht="13.5" thickTop="1">
      <c r="E19" s="16" t="s">
        <v>33</v>
      </c>
      <c r="F19" s="20">
        <f ca="1">+$C$15+$C$16*F18-15018.5-$C$5/24</f>
        <v>45320.054092547332</v>
      </c>
    </row>
    <row r="20" spans="1:22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50</v>
      </c>
      <c r="I20" s="7" t="s">
        <v>53</v>
      </c>
      <c r="J20" s="7" t="s">
        <v>47</v>
      </c>
      <c r="K20" s="7" t="s">
        <v>45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V20" s="47" t="s">
        <v>199</v>
      </c>
    </row>
    <row r="21" spans="1:22">
      <c r="A21" s="45" t="s">
        <v>60</v>
      </c>
      <c r="B21" s="46" t="s">
        <v>37</v>
      </c>
      <c r="C21" s="45">
        <v>25567.49</v>
      </c>
      <c r="D21" s="45" t="s">
        <v>53</v>
      </c>
      <c r="E21">
        <f t="shared" ref="E21:E57" si="0">+(C21-C$7)/C$8</f>
        <v>-61.001693519833672</v>
      </c>
      <c r="F21">
        <f t="shared" ref="F21:F57" si="1">ROUND(2*E21,0)/2</f>
        <v>-61</v>
      </c>
      <c r="G21">
        <f t="shared" ref="G21:G50" si="2">+C21-(C$7+F21*C$8)</f>
        <v>-1.9849999996949919E-2</v>
      </c>
      <c r="I21">
        <f>G21</f>
        <v>-1.9849999996949919E-2</v>
      </c>
      <c r="O21">
        <f t="shared" ref="O21:O57" ca="1" si="3">+C$11+C$12*$F21</f>
        <v>-2.2072098787127631E-4</v>
      </c>
      <c r="Q21" s="2">
        <f t="shared" ref="Q21:Q57" si="4">+C21-15018.5</f>
        <v>10548.990000000002</v>
      </c>
    </row>
    <row r="22" spans="1:22">
      <c r="A22" s="45" t="s">
        <v>60</v>
      </c>
      <c r="B22" s="46" t="s">
        <v>37</v>
      </c>
      <c r="C22" s="45">
        <v>25567.51</v>
      </c>
      <c r="D22" s="45" t="s">
        <v>53</v>
      </c>
      <c r="E22">
        <f t="shared" si="0"/>
        <v>-60.999987202621043</v>
      </c>
      <c r="F22">
        <f t="shared" si="1"/>
        <v>-61</v>
      </c>
      <c r="G22">
        <f t="shared" si="2"/>
        <v>1.4999999984866008E-4</v>
      </c>
      <c r="I22">
        <f>G22</f>
        <v>1.4999999984866008E-4</v>
      </c>
      <c r="O22">
        <f t="shared" ca="1" si="3"/>
        <v>-2.2072098787127631E-4</v>
      </c>
      <c r="Q22" s="2">
        <f t="shared" si="4"/>
        <v>10549.009999999998</v>
      </c>
    </row>
    <row r="23" spans="1:22">
      <c r="A23" s="45" t="s">
        <v>69</v>
      </c>
      <c r="B23" s="46" t="s">
        <v>37</v>
      </c>
      <c r="C23" s="45">
        <v>26235.63</v>
      </c>
      <c r="D23" s="45" t="s">
        <v>53</v>
      </c>
      <c r="E23">
        <f t="shared" si="0"/>
        <v>-3.9987543884344952</v>
      </c>
      <c r="F23">
        <f t="shared" si="1"/>
        <v>-4</v>
      </c>
      <c r="G23">
        <f t="shared" si="2"/>
        <v>1.4600000002246816E-2</v>
      </c>
      <c r="I23">
        <f>G23</f>
        <v>1.4600000002246816E-2</v>
      </c>
      <c r="O23">
        <f t="shared" ca="1" si="3"/>
        <v>-2.9654264340145289E-3</v>
      </c>
      <c r="Q23" s="2">
        <f t="shared" si="4"/>
        <v>11217.130000000001</v>
      </c>
    </row>
    <row r="24" spans="1:22">
      <c r="A24" s="45" t="s">
        <v>74</v>
      </c>
      <c r="B24" s="46" t="s">
        <v>37</v>
      </c>
      <c r="C24" s="45">
        <v>26282.43</v>
      </c>
      <c r="D24" s="45" t="s">
        <v>53</v>
      </c>
      <c r="E24">
        <f t="shared" si="0"/>
        <v>-5.9721102451302955E-3</v>
      </c>
      <c r="F24">
        <f t="shared" si="1"/>
        <v>0</v>
      </c>
      <c r="G24">
        <f t="shared" si="2"/>
        <v>-6.9999999999708962E-2</v>
      </c>
      <c r="I24">
        <f>G24</f>
        <v>-6.9999999999708962E-2</v>
      </c>
      <c r="O24">
        <f t="shared" ca="1" si="3"/>
        <v>-3.1580373425158098E-3</v>
      </c>
      <c r="Q24" s="2">
        <f t="shared" si="4"/>
        <v>11263.93</v>
      </c>
    </row>
    <row r="25" spans="1:22">
      <c r="A25" t="s">
        <v>12</v>
      </c>
      <c r="C25" s="10">
        <v>26282.5</v>
      </c>
      <c r="D25" s="10" t="s">
        <v>14</v>
      </c>
      <c r="E25">
        <f t="shared" si="0"/>
        <v>0</v>
      </c>
      <c r="F25">
        <f t="shared" si="1"/>
        <v>0</v>
      </c>
      <c r="G25">
        <f t="shared" si="2"/>
        <v>0</v>
      </c>
      <c r="H25">
        <f>G25</f>
        <v>0</v>
      </c>
      <c r="O25">
        <f t="shared" ca="1" si="3"/>
        <v>-3.1580373425158098E-3</v>
      </c>
      <c r="Q25" s="2">
        <f t="shared" si="4"/>
        <v>11264</v>
      </c>
    </row>
    <row r="26" spans="1:22">
      <c r="A26" s="45" t="s">
        <v>79</v>
      </c>
      <c r="B26" s="46" t="s">
        <v>37</v>
      </c>
      <c r="C26" s="45">
        <v>29669.782999999999</v>
      </c>
      <c r="D26" s="45" t="s">
        <v>53</v>
      </c>
      <c r="E26">
        <f t="shared" si="0"/>
        <v>288.98896439342553</v>
      </c>
      <c r="F26">
        <f t="shared" si="1"/>
        <v>289</v>
      </c>
      <c r="G26">
        <f t="shared" si="2"/>
        <v>-0.12934999999924912</v>
      </c>
      <c r="I26">
        <f t="shared" ref="I26:I50" si="5">G26</f>
        <v>-0.12934999999924912</v>
      </c>
      <c r="O26">
        <f t="shared" ca="1" si="3"/>
        <v>-1.7074175481733355E-2</v>
      </c>
      <c r="Q26" s="2">
        <f t="shared" si="4"/>
        <v>14651.282999999999</v>
      </c>
    </row>
    <row r="27" spans="1:22">
      <c r="A27" s="45" t="s">
        <v>84</v>
      </c>
      <c r="B27" s="46" t="s">
        <v>37</v>
      </c>
      <c r="C27" s="45">
        <v>33619.79</v>
      </c>
      <c r="D27" s="45" t="s">
        <v>53</v>
      </c>
      <c r="E27">
        <f t="shared" si="0"/>
        <v>625.98721115248941</v>
      </c>
      <c r="F27">
        <f t="shared" si="1"/>
        <v>626</v>
      </c>
      <c r="G27">
        <f t="shared" si="2"/>
        <v>-0.14989999999670545</v>
      </c>
      <c r="I27">
        <f t="shared" si="5"/>
        <v>-0.14989999999670545</v>
      </c>
      <c r="O27">
        <f t="shared" ca="1" si="3"/>
        <v>-3.3301644522966273E-2</v>
      </c>
      <c r="Q27" s="2">
        <f t="shared" si="4"/>
        <v>18601.29</v>
      </c>
    </row>
    <row r="28" spans="1:22">
      <c r="A28" s="45" t="s">
        <v>88</v>
      </c>
      <c r="B28" s="46" t="s">
        <v>37</v>
      </c>
      <c r="C28" s="45">
        <v>34452.120000000003</v>
      </c>
      <c r="D28" s="45" t="s">
        <v>53</v>
      </c>
      <c r="E28">
        <f t="shared" si="0"/>
        <v>696.99816144320334</v>
      </c>
      <c r="F28">
        <f t="shared" si="1"/>
        <v>697</v>
      </c>
      <c r="G28">
        <f t="shared" si="2"/>
        <v>-2.1549999997660052E-2</v>
      </c>
      <c r="I28">
        <f t="shared" si="5"/>
        <v>-2.1549999997660052E-2</v>
      </c>
      <c r="O28">
        <f t="shared" ca="1" si="3"/>
        <v>-3.6720488148864007E-2</v>
      </c>
      <c r="Q28" s="2">
        <f t="shared" si="4"/>
        <v>19433.620000000003</v>
      </c>
    </row>
    <row r="29" spans="1:22">
      <c r="A29" s="45" t="s">
        <v>92</v>
      </c>
      <c r="B29" s="46" t="s">
        <v>37</v>
      </c>
      <c r="C29" s="45">
        <v>35741.49</v>
      </c>
      <c r="D29" s="45" t="s">
        <v>53</v>
      </c>
      <c r="E29">
        <f t="shared" si="0"/>
        <v>807.00187268314096</v>
      </c>
      <c r="F29">
        <f t="shared" si="1"/>
        <v>807</v>
      </c>
      <c r="G29">
        <f t="shared" si="2"/>
        <v>2.1950000002107117E-2</v>
      </c>
      <c r="I29">
        <f t="shared" si="5"/>
        <v>2.1950000002107117E-2</v>
      </c>
      <c r="O29">
        <f t="shared" ca="1" si="3"/>
        <v>-4.2017288132649232E-2</v>
      </c>
      <c r="Q29" s="2">
        <f t="shared" si="4"/>
        <v>20722.989999999998</v>
      </c>
    </row>
    <row r="30" spans="1:22">
      <c r="A30" s="45" t="s">
        <v>95</v>
      </c>
      <c r="B30" s="46" t="s">
        <v>37</v>
      </c>
      <c r="C30" s="45">
        <v>36128.28</v>
      </c>
      <c r="D30" s="45" t="s">
        <v>53</v>
      </c>
      <c r="E30">
        <f t="shared" si="0"/>
        <v>840.00119442204891</v>
      </c>
      <c r="F30">
        <f t="shared" si="1"/>
        <v>840</v>
      </c>
      <c r="G30">
        <f t="shared" si="2"/>
        <v>1.3999999995576218E-2</v>
      </c>
      <c r="I30">
        <f t="shared" si="5"/>
        <v>1.3999999995576218E-2</v>
      </c>
      <c r="O30">
        <f t="shared" ca="1" si="3"/>
        <v>-4.3606328127784796E-2</v>
      </c>
      <c r="Q30" s="2">
        <f t="shared" si="4"/>
        <v>21109.78</v>
      </c>
    </row>
    <row r="31" spans="1:22">
      <c r="A31" s="45" t="s">
        <v>100</v>
      </c>
      <c r="B31" s="46" t="s">
        <v>37</v>
      </c>
      <c r="C31" s="45">
        <v>36597.311999999998</v>
      </c>
      <c r="D31" s="45" t="s">
        <v>53</v>
      </c>
      <c r="E31">
        <f t="shared" si="0"/>
        <v>880.01706317212881</v>
      </c>
      <c r="F31">
        <f t="shared" si="1"/>
        <v>880</v>
      </c>
      <c r="G31">
        <f t="shared" si="2"/>
        <v>0.19999999999708962</v>
      </c>
      <c r="I31">
        <f t="shared" si="5"/>
        <v>0.19999999999708962</v>
      </c>
      <c r="O31">
        <f t="shared" ca="1" si="3"/>
        <v>-4.5532437212797608E-2</v>
      </c>
      <c r="Q31" s="2">
        <f t="shared" si="4"/>
        <v>21578.811999999998</v>
      </c>
    </row>
    <row r="32" spans="1:22">
      <c r="A32" s="45" t="s">
        <v>104</v>
      </c>
      <c r="B32" s="46" t="s">
        <v>37</v>
      </c>
      <c r="C32" s="45">
        <v>36761.199999999997</v>
      </c>
      <c r="D32" s="45" t="s">
        <v>53</v>
      </c>
      <c r="E32">
        <f t="shared" si="0"/>
        <v>893.99930894152851</v>
      </c>
      <c r="F32">
        <f t="shared" si="1"/>
        <v>894</v>
      </c>
      <c r="G32">
        <f t="shared" si="2"/>
        <v>-8.1000000063795596E-3</v>
      </c>
      <c r="I32">
        <f t="shared" si="5"/>
        <v>-8.1000000063795596E-3</v>
      </c>
      <c r="O32">
        <f t="shared" ca="1" si="3"/>
        <v>-4.6206575392552088E-2</v>
      </c>
      <c r="Q32" s="2">
        <f t="shared" si="4"/>
        <v>21742.699999999997</v>
      </c>
    </row>
    <row r="33" spans="1:18">
      <c r="A33" s="45" t="s">
        <v>100</v>
      </c>
      <c r="B33" s="46" t="s">
        <v>37</v>
      </c>
      <c r="C33" s="45">
        <v>37312.360999999997</v>
      </c>
      <c r="D33" s="45" t="s">
        <v>53</v>
      </c>
      <c r="E33">
        <f t="shared" si="0"/>
        <v>941.02208401052781</v>
      </c>
      <c r="F33">
        <f t="shared" si="1"/>
        <v>941</v>
      </c>
      <c r="G33">
        <f t="shared" si="2"/>
        <v>0.2588499999983469</v>
      </c>
      <c r="I33">
        <f t="shared" si="5"/>
        <v>0.2588499999983469</v>
      </c>
      <c r="O33">
        <f t="shared" ca="1" si="3"/>
        <v>-4.8469753567442139E-2</v>
      </c>
      <c r="Q33" s="2">
        <f t="shared" si="4"/>
        <v>22293.860999999997</v>
      </c>
    </row>
    <row r="34" spans="1:18">
      <c r="A34" s="45" t="s">
        <v>100</v>
      </c>
      <c r="B34" s="46" t="s">
        <v>37</v>
      </c>
      <c r="C34" s="45">
        <v>37347.275999999998</v>
      </c>
      <c r="D34" s="45" t="s">
        <v>53</v>
      </c>
      <c r="E34">
        <f t="shared" si="0"/>
        <v>944.00088728495052</v>
      </c>
      <c r="F34">
        <f t="shared" si="1"/>
        <v>944</v>
      </c>
      <c r="G34">
        <f t="shared" si="2"/>
        <v>1.0399999999208376E-2</v>
      </c>
      <c r="I34">
        <f t="shared" si="5"/>
        <v>1.0399999999208376E-2</v>
      </c>
      <c r="O34">
        <f t="shared" ca="1" si="3"/>
        <v>-4.8614211748818102E-2</v>
      </c>
      <c r="Q34" s="2">
        <f t="shared" si="4"/>
        <v>22328.775999999998</v>
      </c>
    </row>
    <row r="35" spans="1:18">
      <c r="A35" s="45" t="s">
        <v>100</v>
      </c>
      <c r="B35" s="46" t="s">
        <v>37</v>
      </c>
      <c r="C35" s="45">
        <v>38331.574999999997</v>
      </c>
      <c r="D35" s="45" t="s">
        <v>53</v>
      </c>
      <c r="E35">
        <f t="shared" si="0"/>
        <v>1027.9772036020354</v>
      </c>
      <c r="F35">
        <f t="shared" si="1"/>
        <v>1028</v>
      </c>
      <c r="G35">
        <f t="shared" si="2"/>
        <v>-0.26720000000204891</v>
      </c>
      <c r="I35">
        <f t="shared" si="5"/>
        <v>-0.26720000000204891</v>
      </c>
      <c r="O35">
        <f t="shared" ca="1" si="3"/>
        <v>-5.2659040827345002E-2</v>
      </c>
      <c r="Q35" s="2">
        <f t="shared" si="4"/>
        <v>23313.074999999997</v>
      </c>
    </row>
    <row r="36" spans="1:18">
      <c r="A36" s="45" t="s">
        <v>100</v>
      </c>
      <c r="B36" s="46" t="s">
        <v>37</v>
      </c>
      <c r="C36" s="45">
        <v>38671.493999999999</v>
      </c>
      <c r="D36" s="45" t="s">
        <v>53</v>
      </c>
      <c r="E36">
        <f t="shared" si="0"/>
        <v>1056.9776856366482</v>
      </c>
      <c r="F36">
        <f t="shared" si="1"/>
        <v>1057</v>
      </c>
      <c r="G36">
        <f t="shared" si="2"/>
        <v>-0.26155000000289874</v>
      </c>
      <c r="I36">
        <f t="shared" si="5"/>
        <v>-0.26155000000289874</v>
      </c>
      <c r="O36">
        <f t="shared" ca="1" si="3"/>
        <v>-5.4055469913979283E-2</v>
      </c>
      <c r="Q36" s="2">
        <f t="shared" si="4"/>
        <v>23652.993999999999</v>
      </c>
    </row>
    <row r="37" spans="1:18">
      <c r="A37" s="45" t="s">
        <v>100</v>
      </c>
      <c r="B37" s="46" t="s">
        <v>37</v>
      </c>
      <c r="C37" s="45">
        <v>39058.453000000001</v>
      </c>
      <c r="D37" s="45" t="s">
        <v>53</v>
      </c>
      <c r="E37">
        <f t="shared" si="0"/>
        <v>1089.9914257560054</v>
      </c>
      <c r="F37">
        <f t="shared" si="1"/>
        <v>1090</v>
      </c>
      <c r="G37">
        <f t="shared" si="2"/>
        <v>-0.10050000000046566</v>
      </c>
      <c r="I37">
        <f t="shared" si="5"/>
        <v>-0.10050000000046566</v>
      </c>
      <c r="O37">
        <f t="shared" ca="1" si="3"/>
        <v>-5.5644509909114855E-2</v>
      </c>
      <c r="Q37" s="2">
        <f t="shared" si="4"/>
        <v>24039.953000000001</v>
      </c>
    </row>
    <row r="38" spans="1:18">
      <c r="A38" s="45" t="s">
        <v>124</v>
      </c>
      <c r="B38" s="46" t="s">
        <v>37</v>
      </c>
      <c r="C38" s="45">
        <v>39058.620000000003</v>
      </c>
      <c r="D38" s="45" t="s">
        <v>53</v>
      </c>
      <c r="E38">
        <f t="shared" si="0"/>
        <v>1090.0056735047331</v>
      </c>
      <c r="F38">
        <f t="shared" si="1"/>
        <v>1090</v>
      </c>
      <c r="G38">
        <f t="shared" si="2"/>
        <v>6.6500000000814907E-2</v>
      </c>
      <c r="I38">
        <f t="shared" si="5"/>
        <v>6.6500000000814907E-2</v>
      </c>
      <c r="O38">
        <f t="shared" ca="1" si="3"/>
        <v>-5.5644509909114855E-2</v>
      </c>
      <c r="Q38" s="2">
        <f t="shared" si="4"/>
        <v>24040.120000000003</v>
      </c>
    </row>
    <row r="39" spans="1:18">
      <c r="A39" s="45" t="s">
        <v>100</v>
      </c>
      <c r="B39" s="46" t="s">
        <v>37</v>
      </c>
      <c r="C39" s="45">
        <v>39609.345000000001</v>
      </c>
      <c r="D39" s="45" t="s">
        <v>53</v>
      </c>
      <c r="E39">
        <f t="shared" si="0"/>
        <v>1136.991250858491</v>
      </c>
      <c r="F39">
        <f t="shared" si="1"/>
        <v>1137</v>
      </c>
      <c r="G39">
        <f t="shared" si="2"/>
        <v>-0.10254999999597203</v>
      </c>
      <c r="I39">
        <f t="shared" si="5"/>
        <v>-0.10254999999597203</v>
      </c>
      <c r="O39">
        <f t="shared" ca="1" si="3"/>
        <v>-5.7907688084004906E-2</v>
      </c>
      <c r="Q39" s="2">
        <f t="shared" si="4"/>
        <v>24590.845000000001</v>
      </c>
    </row>
    <row r="40" spans="1:18">
      <c r="A40" s="45" t="s">
        <v>100</v>
      </c>
      <c r="B40" s="46" t="s">
        <v>37</v>
      </c>
      <c r="C40" s="45">
        <v>40066.508000000002</v>
      </c>
      <c r="D40" s="45" t="s">
        <v>53</v>
      </c>
      <c r="E40">
        <f t="shared" si="0"/>
        <v>1175.9945056585746</v>
      </c>
      <c r="F40">
        <f t="shared" si="1"/>
        <v>1176</v>
      </c>
      <c r="G40">
        <f t="shared" si="2"/>
        <v>-6.4399999995657708E-2</v>
      </c>
      <c r="I40">
        <f t="shared" si="5"/>
        <v>-6.4399999995657708E-2</v>
      </c>
      <c r="O40">
        <f t="shared" ca="1" si="3"/>
        <v>-5.978564444189239E-2</v>
      </c>
      <c r="Q40" s="2">
        <f t="shared" si="4"/>
        <v>25048.008000000002</v>
      </c>
    </row>
    <row r="41" spans="1:18">
      <c r="A41" s="45" t="s">
        <v>100</v>
      </c>
      <c r="B41" s="46" t="s">
        <v>37</v>
      </c>
      <c r="C41" s="45">
        <v>40101.557999999997</v>
      </c>
      <c r="D41" s="45" t="s">
        <v>53</v>
      </c>
      <c r="E41">
        <f t="shared" si="0"/>
        <v>1178.9848265741841</v>
      </c>
      <c r="F41">
        <f t="shared" si="1"/>
        <v>1179</v>
      </c>
      <c r="G41">
        <f t="shared" si="2"/>
        <v>-0.17785000000003492</v>
      </c>
      <c r="I41">
        <f t="shared" si="5"/>
        <v>-0.17785000000003492</v>
      </c>
      <c r="O41">
        <f t="shared" ca="1" si="3"/>
        <v>-5.9930102623268353E-2</v>
      </c>
      <c r="Q41" s="2">
        <f t="shared" si="4"/>
        <v>25083.057999999997</v>
      </c>
    </row>
    <row r="42" spans="1:18">
      <c r="A42" s="45" t="s">
        <v>100</v>
      </c>
      <c r="B42" s="46" t="s">
        <v>37</v>
      </c>
      <c r="C42" s="45">
        <v>40148.476000000002</v>
      </c>
      <c r="D42" s="45" t="s">
        <v>53</v>
      </c>
      <c r="E42">
        <f t="shared" si="0"/>
        <v>1182.98767612393</v>
      </c>
      <c r="F42">
        <f t="shared" si="1"/>
        <v>1183</v>
      </c>
      <c r="G42">
        <f t="shared" si="2"/>
        <v>-0.14444999999977881</v>
      </c>
      <c r="I42">
        <f t="shared" si="5"/>
        <v>-0.14444999999977881</v>
      </c>
      <c r="O42">
        <f t="shared" ca="1" si="3"/>
        <v>-6.0122713531769637E-2</v>
      </c>
      <c r="Q42" s="2">
        <f t="shared" si="4"/>
        <v>25129.976000000002</v>
      </c>
    </row>
    <row r="43" spans="1:18">
      <c r="A43" s="45" t="s">
        <v>124</v>
      </c>
      <c r="B43" s="46" t="s">
        <v>37</v>
      </c>
      <c r="C43" s="45">
        <v>40828.472000000002</v>
      </c>
      <c r="D43" s="45" t="s">
        <v>53</v>
      </c>
      <c r="E43">
        <f t="shared" si="0"/>
        <v>1241.0021200991373</v>
      </c>
      <c r="F43">
        <f t="shared" si="1"/>
        <v>1241</v>
      </c>
      <c r="G43">
        <f t="shared" si="2"/>
        <v>2.4850000001606531E-2</v>
      </c>
      <c r="I43">
        <f t="shared" si="5"/>
        <v>2.4850000001606531E-2</v>
      </c>
      <c r="O43">
        <f t="shared" ca="1" si="3"/>
        <v>-6.2915571705038198E-2</v>
      </c>
      <c r="Q43" s="2">
        <f t="shared" si="4"/>
        <v>25809.972000000002</v>
      </c>
    </row>
    <row r="44" spans="1:18">
      <c r="A44" s="45" t="s">
        <v>100</v>
      </c>
      <c r="B44" s="46" t="s">
        <v>37</v>
      </c>
      <c r="C44" s="45">
        <v>41039.334999999999</v>
      </c>
      <c r="D44" s="45" t="s">
        <v>53</v>
      </c>
      <c r="E44">
        <f t="shared" si="0"/>
        <v>1258.9920784223391</v>
      </c>
      <c r="F44">
        <f t="shared" si="1"/>
        <v>1259</v>
      </c>
      <c r="G44">
        <f t="shared" si="2"/>
        <v>-9.285000000090804E-2</v>
      </c>
      <c r="I44">
        <f t="shared" si="5"/>
        <v>-9.285000000090804E-2</v>
      </c>
      <c r="O44">
        <f t="shared" ca="1" si="3"/>
        <v>-6.3782320793293962E-2</v>
      </c>
      <c r="Q44" s="2">
        <f t="shared" si="4"/>
        <v>26020.834999999999</v>
      </c>
    </row>
    <row r="45" spans="1:18">
      <c r="A45" s="45" t="s">
        <v>124</v>
      </c>
      <c r="B45" s="46" t="s">
        <v>198</v>
      </c>
      <c r="C45" s="45">
        <v>41596.311999999998</v>
      </c>
      <c r="D45" s="45" t="s">
        <v>53</v>
      </c>
      <c r="E45">
        <f t="shared" si="0"/>
        <v>1306.51105053685</v>
      </c>
      <c r="F45">
        <f t="shared" si="1"/>
        <v>1306.5</v>
      </c>
      <c r="G45">
        <f t="shared" si="2"/>
        <v>0.12952499999664724</v>
      </c>
      <c r="I45">
        <f t="shared" si="5"/>
        <v>0.12952499999664724</v>
      </c>
      <c r="O45">
        <f t="shared" ca="1" si="3"/>
        <v>-6.6069575331746677E-2</v>
      </c>
      <c r="Q45" s="2">
        <f t="shared" si="4"/>
        <v>26577.811999999998</v>
      </c>
    </row>
    <row r="46" spans="1:18">
      <c r="A46" t="s">
        <v>38</v>
      </c>
      <c r="C46" s="10">
        <v>42832.618999999999</v>
      </c>
      <c r="D46" s="10">
        <v>0.03</v>
      </c>
      <c r="E46">
        <f t="shared" si="0"/>
        <v>1411.9876462633786</v>
      </c>
      <c r="F46">
        <f t="shared" si="1"/>
        <v>1412</v>
      </c>
      <c r="G46">
        <f t="shared" si="2"/>
        <v>-0.144800000001851</v>
      </c>
      <c r="I46">
        <f t="shared" si="5"/>
        <v>-0.144800000001851</v>
      </c>
      <c r="O46">
        <f t="shared" ca="1" si="3"/>
        <v>-7.1149688043467968E-2</v>
      </c>
      <c r="Q46" s="2">
        <f t="shared" si="4"/>
        <v>27814.118999999999</v>
      </c>
      <c r="R46" t="s">
        <v>39</v>
      </c>
    </row>
    <row r="47" spans="1:18">
      <c r="A47" s="45" t="s">
        <v>149</v>
      </c>
      <c r="B47" s="46" t="s">
        <v>37</v>
      </c>
      <c r="C47" s="45">
        <v>42832.69</v>
      </c>
      <c r="D47" s="45" t="s">
        <v>53</v>
      </c>
      <c r="E47">
        <f t="shared" si="0"/>
        <v>1411.9937036894846</v>
      </c>
      <c r="F47">
        <f t="shared" si="1"/>
        <v>1412</v>
      </c>
      <c r="G47">
        <f t="shared" si="2"/>
        <v>-7.3799999998300336E-2</v>
      </c>
      <c r="I47">
        <f t="shared" si="5"/>
        <v>-7.3799999998300336E-2</v>
      </c>
      <c r="O47">
        <f t="shared" ca="1" si="3"/>
        <v>-7.1149688043467968E-2</v>
      </c>
      <c r="Q47" s="2">
        <f t="shared" si="4"/>
        <v>27814.190000000002</v>
      </c>
    </row>
    <row r="48" spans="1:18">
      <c r="A48" t="s">
        <v>38</v>
      </c>
      <c r="C48" s="10">
        <v>43078.89</v>
      </c>
      <c r="D48" s="10">
        <v>0.02</v>
      </c>
      <c r="E48">
        <f t="shared" si="0"/>
        <v>1432.9984685803015</v>
      </c>
      <c r="F48">
        <f t="shared" si="1"/>
        <v>1433</v>
      </c>
      <c r="G48">
        <f t="shared" si="2"/>
        <v>-1.795000000129221E-2</v>
      </c>
      <c r="I48">
        <f t="shared" si="5"/>
        <v>-1.795000000129221E-2</v>
      </c>
      <c r="O48">
        <f t="shared" ca="1" si="3"/>
        <v>-7.2160895313099688E-2</v>
      </c>
      <c r="Q48" s="2">
        <f t="shared" si="4"/>
        <v>28060.39</v>
      </c>
      <c r="R48" t="s">
        <v>39</v>
      </c>
    </row>
    <row r="49" spans="1:21">
      <c r="A49" s="45" t="s">
        <v>158</v>
      </c>
      <c r="B49" s="46" t="s">
        <v>37</v>
      </c>
      <c r="C49" s="45">
        <v>46056.031999999999</v>
      </c>
      <c r="D49" s="45" t="s">
        <v>53</v>
      </c>
      <c r="E49">
        <f t="shared" si="0"/>
        <v>1686.9959005728961</v>
      </c>
      <c r="F49">
        <f t="shared" si="1"/>
        <v>1687</v>
      </c>
      <c r="G49">
        <f t="shared" si="2"/>
        <v>-4.8050000004877802E-2</v>
      </c>
      <c r="I49">
        <f t="shared" si="5"/>
        <v>-4.8050000004877802E-2</v>
      </c>
      <c r="O49">
        <f t="shared" ca="1" si="3"/>
        <v>-8.4391688002931023E-2</v>
      </c>
      <c r="Q49" s="2">
        <f t="shared" si="4"/>
        <v>31037.531999999999</v>
      </c>
    </row>
    <row r="50" spans="1:21">
      <c r="A50" s="45" t="s">
        <v>163</v>
      </c>
      <c r="B50" s="46" t="s">
        <v>37</v>
      </c>
      <c r="C50" s="45">
        <v>51236.63</v>
      </c>
      <c r="D50" s="45" t="s">
        <v>53</v>
      </c>
      <c r="E50">
        <f t="shared" si="0"/>
        <v>2128.9830775990408</v>
      </c>
      <c r="F50">
        <f t="shared" si="1"/>
        <v>2129</v>
      </c>
      <c r="G50">
        <f t="shared" si="2"/>
        <v>-0.19834999999875436</v>
      </c>
      <c r="I50">
        <f t="shared" si="5"/>
        <v>-0.19834999999875436</v>
      </c>
      <c r="O50">
        <f t="shared" ca="1" si="3"/>
        <v>-0.10567519339232256</v>
      </c>
      <c r="Q50" s="2">
        <f t="shared" si="4"/>
        <v>36218.129999999997</v>
      </c>
    </row>
    <row r="51" spans="1:21">
      <c r="A51" s="45" t="s">
        <v>168</v>
      </c>
      <c r="B51" s="46" t="s">
        <v>37</v>
      </c>
      <c r="C51" s="45">
        <v>51601.16</v>
      </c>
      <c r="D51" s="45" t="s">
        <v>53</v>
      </c>
      <c r="E51">
        <f t="shared" si="0"/>
        <v>2160.0832682799901</v>
      </c>
      <c r="F51">
        <f t="shared" si="1"/>
        <v>2160</v>
      </c>
      <c r="O51">
        <f t="shared" ca="1" si="3"/>
        <v>-0.10716792793320749</v>
      </c>
      <c r="Q51" s="2">
        <f t="shared" si="4"/>
        <v>36582.660000000003</v>
      </c>
      <c r="U51">
        <f>+C51-(C$7+F51*C$8)</f>
        <v>0.97600000000238651</v>
      </c>
    </row>
    <row r="52" spans="1:21">
      <c r="A52" s="45" t="s">
        <v>172</v>
      </c>
      <c r="B52" s="46" t="s">
        <v>37</v>
      </c>
      <c r="C52" s="45">
        <v>51799.231</v>
      </c>
      <c r="D52" s="45" t="s">
        <v>53</v>
      </c>
      <c r="E52">
        <f t="shared" si="0"/>
        <v>2176.9818661138197</v>
      </c>
      <c r="F52">
        <f t="shared" si="1"/>
        <v>2177</v>
      </c>
      <c r="G52">
        <f t="shared" ref="G52:G57" si="6">+C52-(C$7+F52*C$8)</f>
        <v>-0.21254999999655411</v>
      </c>
      <c r="I52">
        <f>G52</f>
        <v>-0.21254999999655411</v>
      </c>
      <c r="O52">
        <f t="shared" ca="1" si="3"/>
        <v>-0.10798652429433793</v>
      </c>
      <c r="Q52" s="2">
        <f t="shared" si="4"/>
        <v>36780.731</v>
      </c>
    </row>
    <row r="53" spans="1:21">
      <c r="A53" s="45" t="s">
        <v>176</v>
      </c>
      <c r="B53" s="46" t="s">
        <v>37</v>
      </c>
      <c r="C53" s="45">
        <v>52900.92</v>
      </c>
      <c r="D53" s="45" t="s">
        <v>53</v>
      </c>
      <c r="E53">
        <f t="shared" si="0"/>
        <v>2270.9734113120298</v>
      </c>
      <c r="F53">
        <f t="shared" si="1"/>
        <v>2271</v>
      </c>
      <c r="G53">
        <f t="shared" si="6"/>
        <v>-0.31165000000328291</v>
      </c>
      <c r="I53">
        <f>G53</f>
        <v>-0.31165000000328291</v>
      </c>
      <c r="O53">
        <f t="shared" ca="1" si="3"/>
        <v>-0.11251288064411803</v>
      </c>
      <c r="Q53" s="2">
        <f t="shared" si="4"/>
        <v>37882.42</v>
      </c>
    </row>
    <row r="54" spans="1:21">
      <c r="A54" s="28" t="s">
        <v>36</v>
      </c>
      <c r="B54" s="29" t="s">
        <v>37</v>
      </c>
      <c r="C54" s="30">
        <v>53920.953800000003</v>
      </c>
      <c r="D54" s="30">
        <v>1.4500000000000001E-2</v>
      </c>
      <c r="E54">
        <f t="shared" si="0"/>
        <v>2357.998472846095</v>
      </c>
      <c r="F54">
        <f t="shared" si="1"/>
        <v>2358</v>
      </c>
      <c r="G54">
        <f t="shared" si="6"/>
        <v>-1.789999999164138E-2</v>
      </c>
      <c r="K54">
        <f>G54</f>
        <v>-1.789999999164138E-2</v>
      </c>
      <c r="O54">
        <f t="shared" ca="1" si="3"/>
        <v>-0.1167021679040209</v>
      </c>
      <c r="Q54" s="2">
        <f t="shared" si="4"/>
        <v>38902.453800000003</v>
      </c>
    </row>
    <row r="55" spans="1:21">
      <c r="A55" s="45" t="s">
        <v>186</v>
      </c>
      <c r="B55" s="46" t="s">
        <v>37</v>
      </c>
      <c r="C55" s="45">
        <v>54002.874000000003</v>
      </c>
      <c r="D55" s="45" t="s">
        <v>53</v>
      </c>
      <c r="E55">
        <f t="shared" si="0"/>
        <v>2364.9875652133114</v>
      </c>
      <c r="F55">
        <f t="shared" si="1"/>
        <v>2365</v>
      </c>
      <c r="G55">
        <f t="shared" si="6"/>
        <v>-0.14574999999604188</v>
      </c>
      <c r="I55">
        <f>G55</f>
        <v>-0.14574999999604188</v>
      </c>
      <c r="O55">
        <f t="shared" ca="1" si="3"/>
        <v>-0.11703923699389814</v>
      </c>
      <c r="Q55" s="2">
        <f t="shared" si="4"/>
        <v>38984.374000000003</v>
      </c>
    </row>
    <row r="56" spans="1:21">
      <c r="A56" s="45" t="s">
        <v>192</v>
      </c>
      <c r="B56" s="46" t="s">
        <v>37</v>
      </c>
      <c r="C56" s="45">
        <v>55081.317999999999</v>
      </c>
      <c r="D56" s="45" t="s">
        <v>53</v>
      </c>
      <c r="E56">
        <f t="shared" si="0"/>
        <v>2456.9959432308265</v>
      </c>
      <c r="F56">
        <f t="shared" si="1"/>
        <v>2457</v>
      </c>
      <c r="G56">
        <f t="shared" si="6"/>
        <v>-4.7550000002956949E-2</v>
      </c>
      <c r="I56">
        <f>G56</f>
        <v>-4.7550000002956949E-2</v>
      </c>
      <c r="O56">
        <f t="shared" ca="1" si="3"/>
        <v>-0.1214692878894276</v>
      </c>
      <c r="Q56" s="2">
        <f t="shared" si="4"/>
        <v>40062.817999999999</v>
      </c>
    </row>
    <row r="57" spans="1:21">
      <c r="A57" s="45" t="s">
        <v>197</v>
      </c>
      <c r="B57" s="46" t="s">
        <v>37</v>
      </c>
      <c r="C57" s="45">
        <v>55808.04</v>
      </c>
      <c r="D57" s="45" t="s">
        <v>53</v>
      </c>
      <c r="E57">
        <f t="shared" si="0"/>
        <v>2518.9968561105352</v>
      </c>
      <c r="F57">
        <f t="shared" si="1"/>
        <v>2519</v>
      </c>
      <c r="G57">
        <f t="shared" si="6"/>
        <v>-3.6849999996775296E-2</v>
      </c>
      <c r="I57">
        <f>G57</f>
        <v>-3.6849999996775296E-2</v>
      </c>
      <c r="O57">
        <f t="shared" ca="1" si="3"/>
        <v>-0.12445475697119746</v>
      </c>
      <c r="Q57" s="2">
        <f t="shared" si="4"/>
        <v>40789.54</v>
      </c>
    </row>
    <row r="58" spans="1:21">
      <c r="B58" s="3"/>
      <c r="C58" s="10"/>
      <c r="D58" s="10"/>
    </row>
    <row r="59" spans="1:21">
      <c r="B59" s="3"/>
      <c r="C59" s="10"/>
      <c r="D59" s="10"/>
    </row>
    <row r="60" spans="1:21">
      <c r="B60" s="3"/>
      <c r="C60" s="10"/>
      <c r="D60" s="10"/>
    </row>
    <row r="61" spans="1:21">
      <c r="B61" s="3"/>
      <c r="C61" s="10"/>
      <c r="D61" s="10"/>
    </row>
    <row r="62" spans="1:21">
      <c r="B62" s="3"/>
      <c r="C62" s="10"/>
      <c r="D62" s="10"/>
    </row>
    <row r="63" spans="1:21">
      <c r="B63" s="3"/>
      <c r="C63" s="10"/>
      <c r="D63" s="10"/>
    </row>
    <row r="64" spans="1:21">
      <c r="B64" s="3"/>
      <c r="C64" s="10"/>
      <c r="D64" s="10"/>
    </row>
    <row r="65" spans="2:4">
      <c r="B65" s="3"/>
      <c r="C65" s="10"/>
      <c r="D65" s="10"/>
    </row>
    <row r="66" spans="2:4">
      <c r="B66" s="3"/>
      <c r="C66" s="10"/>
      <c r="D66" s="10"/>
    </row>
    <row r="67" spans="2:4">
      <c r="B67" s="3"/>
      <c r="C67" s="10"/>
      <c r="D67" s="10"/>
    </row>
    <row r="68" spans="2:4">
      <c r="B68" s="3"/>
      <c r="C68" s="10"/>
      <c r="D68" s="10"/>
    </row>
    <row r="69" spans="2:4">
      <c r="B69" s="3"/>
      <c r="C69" s="10"/>
      <c r="D69" s="10"/>
    </row>
    <row r="70" spans="2:4">
      <c r="B70" s="3"/>
      <c r="C70" s="10"/>
      <c r="D70" s="10"/>
    </row>
    <row r="71" spans="2:4">
      <c r="B71" s="3"/>
      <c r="C71" s="10"/>
      <c r="D71" s="10"/>
    </row>
    <row r="72" spans="2:4">
      <c r="B72" s="3"/>
      <c r="C72" s="10"/>
      <c r="D72" s="10"/>
    </row>
    <row r="73" spans="2:4">
      <c r="C73" s="10"/>
      <c r="D73" s="10"/>
    </row>
    <row r="74" spans="2:4">
      <c r="C74" s="10"/>
      <c r="D74" s="10"/>
    </row>
    <row r="75" spans="2:4">
      <c r="C75" s="10"/>
      <c r="D75" s="10"/>
    </row>
    <row r="76" spans="2:4">
      <c r="C76" s="10"/>
      <c r="D76" s="10"/>
    </row>
    <row r="77" spans="2:4">
      <c r="C77" s="10"/>
      <c r="D77" s="10"/>
    </row>
    <row r="78" spans="2:4">
      <c r="C78" s="10"/>
      <c r="D78" s="10"/>
    </row>
    <row r="79" spans="2:4">
      <c r="C79" s="10"/>
      <c r="D79" s="10"/>
    </row>
    <row r="80" spans="2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8"/>
  <sheetViews>
    <sheetView workbookViewId="0">
      <selection activeCell="A13" sqref="A13:D45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2" t="s">
        <v>43</v>
      </c>
      <c r="I1" s="33" t="s">
        <v>44</v>
      </c>
      <c r="J1" s="34" t="s">
        <v>45</v>
      </c>
    </row>
    <row r="2" spans="1:16">
      <c r="I2" s="35" t="s">
        <v>46</v>
      </c>
      <c r="J2" s="36" t="s">
        <v>47</v>
      </c>
    </row>
    <row r="3" spans="1:16">
      <c r="A3" s="37" t="s">
        <v>48</v>
      </c>
      <c r="I3" s="35" t="s">
        <v>49</v>
      </c>
      <c r="J3" s="36" t="s">
        <v>50</v>
      </c>
    </row>
    <row r="4" spans="1:16">
      <c r="I4" s="35" t="s">
        <v>51</v>
      </c>
      <c r="J4" s="36" t="s">
        <v>50</v>
      </c>
    </row>
    <row r="5" spans="1:16" ht="13.5" thickBot="1">
      <c r="I5" s="38" t="s">
        <v>52</v>
      </c>
      <c r="J5" s="39" t="s">
        <v>53</v>
      </c>
    </row>
    <row r="10" spans="1:16" ht="13.5" thickBot="1"/>
    <row r="11" spans="1:16" ht="12.75" customHeight="1" thickBot="1">
      <c r="A11" s="10" t="str">
        <f t="shared" ref="A11:A45" si="0">P11</f>
        <v> AN 301.327 </v>
      </c>
      <c r="B11" s="3" t="str">
        <f t="shared" ref="B11:B45" si="1">IF(H11=INT(H11),"I","II")</f>
        <v>I</v>
      </c>
      <c r="C11" s="10">
        <f t="shared" ref="C11:C45" si="2">1*G11</f>
        <v>43078.89</v>
      </c>
      <c r="D11" s="12" t="str">
        <f t="shared" ref="D11:D45" si="3">VLOOKUP(F11,I$1:J$5,2,FALSE)</f>
        <v>vis</v>
      </c>
      <c r="E11" s="40">
        <f>VLOOKUP(C11,Active!C$21:E$973,3,FALSE)</f>
        <v>1432.9984685803015</v>
      </c>
      <c r="F11" s="3" t="s">
        <v>52</v>
      </c>
      <c r="G11" s="12" t="str">
        <f t="shared" ref="G11:G45" si="4">MID(I11,3,LEN(I11)-3)</f>
        <v>43078.89</v>
      </c>
      <c r="H11" s="10">
        <f t="shared" ref="H11:H45" si="5">1*K11</f>
        <v>1433</v>
      </c>
      <c r="I11" s="41" t="s">
        <v>150</v>
      </c>
      <c r="J11" s="42" t="s">
        <v>151</v>
      </c>
      <c r="K11" s="41">
        <v>1433</v>
      </c>
      <c r="L11" s="41" t="s">
        <v>57</v>
      </c>
      <c r="M11" s="42" t="s">
        <v>67</v>
      </c>
      <c r="N11" s="42"/>
      <c r="O11" s="43" t="s">
        <v>148</v>
      </c>
      <c r="P11" s="43" t="s">
        <v>149</v>
      </c>
    </row>
    <row r="12" spans="1:16" ht="12.75" customHeight="1" thickBot="1">
      <c r="A12" s="10" t="str">
        <f t="shared" si="0"/>
        <v>IBVS 5931 </v>
      </c>
      <c r="B12" s="3" t="str">
        <f t="shared" si="1"/>
        <v>I</v>
      </c>
      <c r="C12" s="10">
        <f t="shared" si="2"/>
        <v>53920.953800000003</v>
      </c>
      <c r="D12" s="12" t="str">
        <f t="shared" si="3"/>
        <v>vis</v>
      </c>
      <c r="E12" s="40">
        <f>VLOOKUP(C12,Active!C$21:E$973,3,FALSE)</f>
        <v>2357.998472846095</v>
      </c>
      <c r="F12" s="3" t="s">
        <v>52</v>
      </c>
      <c r="G12" s="12" t="str">
        <f t="shared" si="4"/>
        <v>53920.9538</v>
      </c>
      <c r="H12" s="10">
        <f t="shared" si="5"/>
        <v>2358</v>
      </c>
      <c r="I12" s="41" t="s">
        <v>177</v>
      </c>
      <c r="J12" s="42" t="s">
        <v>178</v>
      </c>
      <c r="K12" s="41">
        <v>2358</v>
      </c>
      <c r="L12" s="41" t="s">
        <v>179</v>
      </c>
      <c r="M12" s="42" t="s">
        <v>180</v>
      </c>
      <c r="N12" s="42" t="s">
        <v>52</v>
      </c>
      <c r="O12" s="43" t="s">
        <v>181</v>
      </c>
      <c r="P12" s="44" t="s">
        <v>182</v>
      </c>
    </row>
    <row r="13" spans="1:16" ht="12.75" customHeight="1" thickBot="1">
      <c r="A13" s="10" t="str">
        <f t="shared" si="0"/>
        <v> AN 235.83 </v>
      </c>
      <c r="B13" s="3" t="str">
        <f t="shared" si="1"/>
        <v>I</v>
      </c>
      <c r="C13" s="10">
        <f t="shared" si="2"/>
        <v>25567.49</v>
      </c>
      <c r="D13" s="12" t="str">
        <f t="shared" si="3"/>
        <v>vis</v>
      </c>
      <c r="E13" s="40">
        <f>VLOOKUP(C13,Active!C$21:E$973,3,FALSE)</f>
        <v>-61.001693519833672</v>
      </c>
      <c r="F13" s="3" t="s">
        <v>52</v>
      </c>
      <c r="G13" s="12" t="str">
        <f t="shared" si="4"/>
        <v>25567.49</v>
      </c>
      <c r="H13" s="10">
        <f t="shared" si="5"/>
        <v>-61</v>
      </c>
      <c r="I13" s="41" t="s">
        <v>55</v>
      </c>
      <c r="J13" s="42" t="s">
        <v>56</v>
      </c>
      <c r="K13" s="41">
        <v>-61</v>
      </c>
      <c r="L13" s="41" t="s">
        <v>57</v>
      </c>
      <c r="M13" s="42" t="s">
        <v>58</v>
      </c>
      <c r="N13" s="42"/>
      <c r="O13" s="43" t="s">
        <v>59</v>
      </c>
      <c r="P13" s="43" t="s">
        <v>60</v>
      </c>
    </row>
    <row r="14" spans="1:16" ht="12.75" customHeight="1" thickBot="1">
      <c r="A14" s="10" t="str">
        <f t="shared" si="0"/>
        <v> AN 235.83 </v>
      </c>
      <c r="B14" s="3" t="str">
        <f t="shared" si="1"/>
        <v>I</v>
      </c>
      <c r="C14" s="10">
        <f t="shared" si="2"/>
        <v>25567.51</v>
      </c>
      <c r="D14" s="12" t="str">
        <f t="shared" si="3"/>
        <v>vis</v>
      </c>
      <c r="E14" s="40">
        <f>VLOOKUP(C14,Active!C$21:E$973,3,FALSE)</f>
        <v>-60.999987202621043</v>
      </c>
      <c r="F14" s="3" t="s">
        <v>52</v>
      </c>
      <c r="G14" s="12" t="str">
        <f t="shared" si="4"/>
        <v>25567.51</v>
      </c>
      <c r="H14" s="10">
        <f t="shared" si="5"/>
        <v>-61</v>
      </c>
      <c r="I14" s="41" t="s">
        <v>61</v>
      </c>
      <c r="J14" s="42" t="s">
        <v>62</v>
      </c>
      <c r="K14" s="41">
        <v>-61</v>
      </c>
      <c r="L14" s="41" t="s">
        <v>63</v>
      </c>
      <c r="M14" s="42" t="s">
        <v>58</v>
      </c>
      <c r="N14" s="42"/>
      <c r="O14" s="43" t="s">
        <v>59</v>
      </c>
      <c r="P14" s="43" t="s">
        <v>60</v>
      </c>
    </row>
    <row r="15" spans="1:16" ht="12.75" customHeight="1" thickBot="1">
      <c r="A15" s="10" t="str">
        <f t="shared" si="0"/>
        <v> AN 258.281 </v>
      </c>
      <c r="B15" s="3" t="str">
        <f t="shared" si="1"/>
        <v>I</v>
      </c>
      <c r="C15" s="10">
        <f t="shared" si="2"/>
        <v>26235.63</v>
      </c>
      <c r="D15" s="12" t="str">
        <f t="shared" si="3"/>
        <v>vis</v>
      </c>
      <c r="E15" s="40">
        <f>VLOOKUP(C15,Active!C$21:E$973,3,FALSE)</f>
        <v>-3.9987543884344952</v>
      </c>
      <c r="F15" s="3" t="s">
        <v>52</v>
      </c>
      <c r="G15" s="12" t="str">
        <f t="shared" si="4"/>
        <v>26235.63</v>
      </c>
      <c r="H15" s="10">
        <f t="shared" si="5"/>
        <v>-4</v>
      </c>
      <c r="I15" s="41" t="s">
        <v>64</v>
      </c>
      <c r="J15" s="42" t="s">
        <v>65</v>
      </c>
      <c r="K15" s="41">
        <v>-4</v>
      </c>
      <c r="L15" s="41" t="s">
        <v>66</v>
      </c>
      <c r="M15" s="42" t="s">
        <v>67</v>
      </c>
      <c r="N15" s="42"/>
      <c r="O15" s="43" t="s">
        <v>68</v>
      </c>
      <c r="P15" s="43" t="s">
        <v>69</v>
      </c>
    </row>
    <row r="16" spans="1:16" ht="12.75" customHeight="1" thickBot="1">
      <c r="A16" s="10" t="str">
        <f t="shared" si="0"/>
        <v> IODE 4.1.178 </v>
      </c>
      <c r="B16" s="3" t="str">
        <f t="shared" si="1"/>
        <v>I</v>
      </c>
      <c r="C16" s="10">
        <f t="shared" si="2"/>
        <v>26282.43</v>
      </c>
      <c r="D16" s="12" t="str">
        <f t="shared" si="3"/>
        <v>vis</v>
      </c>
      <c r="E16" s="40">
        <f>VLOOKUP(C16,Active!C$21:E$973,3,FALSE)</f>
        <v>-5.9721102451302955E-3</v>
      </c>
      <c r="F16" s="3" t="s">
        <v>52</v>
      </c>
      <c r="G16" s="12" t="str">
        <f t="shared" si="4"/>
        <v>26282.43</v>
      </c>
      <c r="H16" s="10">
        <f t="shared" si="5"/>
        <v>0</v>
      </c>
      <c r="I16" s="41" t="s">
        <v>70</v>
      </c>
      <c r="J16" s="42" t="s">
        <v>71</v>
      </c>
      <c r="K16" s="41">
        <v>0</v>
      </c>
      <c r="L16" s="41" t="s">
        <v>72</v>
      </c>
      <c r="M16" s="42" t="s">
        <v>67</v>
      </c>
      <c r="N16" s="42"/>
      <c r="O16" s="43" t="s">
        <v>73</v>
      </c>
      <c r="P16" s="43" t="s">
        <v>74</v>
      </c>
    </row>
    <row r="17" spans="1:16" ht="12.75" customHeight="1" thickBot="1">
      <c r="A17" s="10" t="str">
        <f t="shared" si="0"/>
        <v> HA 113.72 </v>
      </c>
      <c r="B17" s="3" t="str">
        <f t="shared" si="1"/>
        <v>I</v>
      </c>
      <c r="C17" s="10">
        <f t="shared" si="2"/>
        <v>29669.782999999999</v>
      </c>
      <c r="D17" s="12" t="str">
        <f t="shared" si="3"/>
        <v>vis</v>
      </c>
      <c r="E17" s="40">
        <f>VLOOKUP(C17,Active!C$21:E$973,3,FALSE)</f>
        <v>288.98896439342553</v>
      </c>
      <c r="F17" s="3" t="s">
        <v>52</v>
      </c>
      <c r="G17" s="12" t="str">
        <f t="shared" si="4"/>
        <v>29669.783</v>
      </c>
      <c r="H17" s="10">
        <f t="shared" si="5"/>
        <v>289</v>
      </c>
      <c r="I17" s="41" t="s">
        <v>75</v>
      </c>
      <c r="J17" s="42" t="s">
        <v>76</v>
      </c>
      <c r="K17" s="41">
        <v>289</v>
      </c>
      <c r="L17" s="41" t="s">
        <v>77</v>
      </c>
      <c r="M17" s="42" t="s">
        <v>54</v>
      </c>
      <c r="N17" s="42"/>
      <c r="O17" s="43" t="s">
        <v>78</v>
      </c>
      <c r="P17" s="43" t="s">
        <v>79</v>
      </c>
    </row>
    <row r="18" spans="1:16" ht="12.75" customHeight="1" thickBot="1">
      <c r="A18" s="10" t="str">
        <f t="shared" si="0"/>
        <v> BTOK 49.384 </v>
      </c>
      <c r="B18" s="3" t="str">
        <f t="shared" si="1"/>
        <v>I</v>
      </c>
      <c r="C18" s="10">
        <f t="shared" si="2"/>
        <v>33619.79</v>
      </c>
      <c r="D18" s="12" t="str">
        <f t="shared" si="3"/>
        <v>vis</v>
      </c>
      <c r="E18" s="40">
        <f>VLOOKUP(C18,Active!C$21:E$973,3,FALSE)</f>
        <v>625.98721115248941</v>
      </c>
      <c r="F18" s="3" t="s">
        <v>52</v>
      </c>
      <c r="G18" s="12" t="str">
        <f t="shared" si="4"/>
        <v>33619.79</v>
      </c>
      <c r="H18" s="10">
        <f t="shared" si="5"/>
        <v>626</v>
      </c>
      <c r="I18" s="41" t="s">
        <v>80</v>
      </c>
      <c r="J18" s="42" t="s">
        <v>81</v>
      </c>
      <c r="K18" s="41">
        <v>626</v>
      </c>
      <c r="L18" s="41" t="s">
        <v>82</v>
      </c>
      <c r="M18" s="42" t="s">
        <v>54</v>
      </c>
      <c r="N18" s="42"/>
      <c r="O18" s="43" t="s">
        <v>83</v>
      </c>
      <c r="P18" s="43" t="s">
        <v>84</v>
      </c>
    </row>
    <row r="19" spans="1:16" ht="12.75" customHeight="1" thickBot="1">
      <c r="A19" s="10" t="str">
        <f t="shared" si="0"/>
        <v> AAC 5.190 </v>
      </c>
      <c r="B19" s="3" t="str">
        <f t="shared" si="1"/>
        <v>I</v>
      </c>
      <c r="C19" s="10">
        <f t="shared" si="2"/>
        <v>34452.120000000003</v>
      </c>
      <c r="D19" s="12" t="str">
        <f t="shared" si="3"/>
        <v>vis</v>
      </c>
      <c r="E19" s="40">
        <f>VLOOKUP(C19,Active!C$21:E$973,3,FALSE)</f>
        <v>696.99816144320334</v>
      </c>
      <c r="F19" s="3" t="s">
        <v>52</v>
      </c>
      <c r="G19" s="12" t="str">
        <f t="shared" si="4"/>
        <v>34452.12</v>
      </c>
      <c r="H19" s="10">
        <f t="shared" si="5"/>
        <v>697</v>
      </c>
      <c r="I19" s="41" t="s">
        <v>85</v>
      </c>
      <c r="J19" s="42" t="s">
        <v>86</v>
      </c>
      <c r="K19" s="41">
        <v>697</v>
      </c>
      <c r="L19" s="41" t="s">
        <v>57</v>
      </c>
      <c r="M19" s="42" t="s">
        <v>67</v>
      </c>
      <c r="N19" s="42"/>
      <c r="O19" s="43" t="s">
        <v>87</v>
      </c>
      <c r="P19" s="43" t="s">
        <v>88</v>
      </c>
    </row>
    <row r="20" spans="1:16" ht="12.75" customHeight="1" thickBot="1">
      <c r="A20" s="10" t="str">
        <f t="shared" si="0"/>
        <v> AA 7.189 </v>
      </c>
      <c r="B20" s="3" t="str">
        <f t="shared" si="1"/>
        <v>I</v>
      </c>
      <c r="C20" s="10">
        <f t="shared" si="2"/>
        <v>35741.49</v>
      </c>
      <c r="D20" s="12" t="str">
        <f t="shared" si="3"/>
        <v>vis</v>
      </c>
      <c r="E20" s="40">
        <f>VLOOKUP(C20,Active!C$21:E$973,3,FALSE)</f>
        <v>807.00187268314096</v>
      </c>
      <c r="F20" s="3" t="s">
        <v>52</v>
      </c>
      <c r="G20" s="12" t="str">
        <f t="shared" si="4"/>
        <v>35741.49</v>
      </c>
      <c r="H20" s="10">
        <f t="shared" si="5"/>
        <v>807</v>
      </c>
      <c r="I20" s="41" t="s">
        <v>89</v>
      </c>
      <c r="J20" s="42" t="s">
        <v>90</v>
      </c>
      <c r="K20" s="41">
        <v>807</v>
      </c>
      <c r="L20" s="41" t="s">
        <v>91</v>
      </c>
      <c r="M20" s="42" t="s">
        <v>67</v>
      </c>
      <c r="N20" s="42"/>
      <c r="O20" s="43" t="s">
        <v>87</v>
      </c>
      <c r="P20" s="43" t="s">
        <v>92</v>
      </c>
    </row>
    <row r="21" spans="1:16" ht="12.75" customHeight="1" thickBot="1">
      <c r="A21" s="10" t="str">
        <f t="shared" si="0"/>
        <v> AA 8.190 </v>
      </c>
      <c r="B21" s="3" t="str">
        <f t="shared" si="1"/>
        <v>I</v>
      </c>
      <c r="C21" s="10">
        <f t="shared" si="2"/>
        <v>36128.28</v>
      </c>
      <c r="D21" s="12" t="str">
        <f t="shared" si="3"/>
        <v>vis</v>
      </c>
      <c r="E21" s="40">
        <f>VLOOKUP(C21,Active!C$21:E$973,3,FALSE)</f>
        <v>840.00119442204891</v>
      </c>
      <c r="F21" s="3" t="s">
        <v>52</v>
      </c>
      <c r="G21" s="12" t="str">
        <f t="shared" si="4"/>
        <v>36128.28</v>
      </c>
      <c r="H21" s="10">
        <f t="shared" si="5"/>
        <v>840</v>
      </c>
      <c r="I21" s="41" t="s">
        <v>93</v>
      </c>
      <c r="J21" s="42" t="s">
        <v>94</v>
      </c>
      <c r="K21" s="41">
        <v>840</v>
      </c>
      <c r="L21" s="41" t="s">
        <v>66</v>
      </c>
      <c r="M21" s="42" t="s">
        <v>67</v>
      </c>
      <c r="N21" s="42"/>
      <c r="O21" s="43" t="s">
        <v>87</v>
      </c>
      <c r="P21" s="43" t="s">
        <v>95</v>
      </c>
    </row>
    <row r="22" spans="1:16" ht="12.75" customHeight="1" thickBot="1">
      <c r="A22" s="10" t="str">
        <f t="shared" si="0"/>
        <v> MVS 6.54 </v>
      </c>
      <c r="B22" s="3" t="str">
        <f t="shared" si="1"/>
        <v>I</v>
      </c>
      <c r="C22" s="10">
        <f t="shared" si="2"/>
        <v>36597.311999999998</v>
      </c>
      <c r="D22" s="12" t="str">
        <f t="shared" si="3"/>
        <v>vis</v>
      </c>
      <c r="E22" s="40">
        <f>VLOOKUP(C22,Active!C$21:E$973,3,FALSE)</f>
        <v>880.01706317212881</v>
      </c>
      <c r="F22" s="3" t="s">
        <v>52</v>
      </c>
      <c r="G22" s="12" t="str">
        <f t="shared" si="4"/>
        <v>36597.312</v>
      </c>
      <c r="H22" s="10">
        <f t="shared" si="5"/>
        <v>880</v>
      </c>
      <c r="I22" s="41" t="s">
        <v>96</v>
      </c>
      <c r="J22" s="42" t="s">
        <v>97</v>
      </c>
      <c r="K22" s="41">
        <v>880</v>
      </c>
      <c r="L22" s="41" t="s">
        <v>98</v>
      </c>
      <c r="M22" s="42" t="s">
        <v>58</v>
      </c>
      <c r="N22" s="42"/>
      <c r="O22" s="43" t="s">
        <v>99</v>
      </c>
      <c r="P22" s="43" t="s">
        <v>100</v>
      </c>
    </row>
    <row r="23" spans="1:16" ht="12.75" customHeight="1" thickBot="1">
      <c r="A23" s="10" t="str">
        <f t="shared" si="0"/>
        <v> AA 10.69 </v>
      </c>
      <c r="B23" s="3" t="str">
        <f t="shared" si="1"/>
        <v>I</v>
      </c>
      <c r="C23" s="10">
        <f t="shared" si="2"/>
        <v>36761.199999999997</v>
      </c>
      <c r="D23" s="12" t="str">
        <f t="shared" si="3"/>
        <v>vis</v>
      </c>
      <c r="E23" s="40">
        <f>VLOOKUP(C23,Active!C$21:E$973,3,FALSE)</f>
        <v>893.99930894152851</v>
      </c>
      <c r="F23" s="3" t="s">
        <v>52</v>
      </c>
      <c r="G23" s="12" t="str">
        <f t="shared" si="4"/>
        <v>36761.20</v>
      </c>
      <c r="H23" s="10">
        <f t="shared" si="5"/>
        <v>894</v>
      </c>
      <c r="I23" s="41" t="s">
        <v>101</v>
      </c>
      <c r="J23" s="42" t="s">
        <v>102</v>
      </c>
      <c r="K23" s="41">
        <v>894</v>
      </c>
      <c r="L23" s="41" t="s">
        <v>103</v>
      </c>
      <c r="M23" s="42" t="s">
        <v>67</v>
      </c>
      <c r="N23" s="42"/>
      <c r="O23" s="43" t="s">
        <v>87</v>
      </c>
      <c r="P23" s="43" t="s">
        <v>104</v>
      </c>
    </row>
    <row r="24" spans="1:16" ht="12.75" customHeight="1" thickBot="1">
      <c r="A24" s="10" t="str">
        <f t="shared" si="0"/>
        <v> MVS 6.54 </v>
      </c>
      <c r="B24" s="3" t="str">
        <f t="shared" si="1"/>
        <v>I</v>
      </c>
      <c r="C24" s="10">
        <f t="shared" si="2"/>
        <v>37312.360999999997</v>
      </c>
      <c r="D24" s="12" t="str">
        <f t="shared" si="3"/>
        <v>vis</v>
      </c>
      <c r="E24" s="40">
        <f>VLOOKUP(C24,Active!C$21:E$973,3,FALSE)</f>
        <v>941.02208401052781</v>
      </c>
      <c r="F24" s="3" t="s">
        <v>52</v>
      </c>
      <c r="G24" s="12" t="str">
        <f t="shared" si="4"/>
        <v>37312.361</v>
      </c>
      <c r="H24" s="10">
        <f t="shared" si="5"/>
        <v>941</v>
      </c>
      <c r="I24" s="41" t="s">
        <v>105</v>
      </c>
      <c r="J24" s="42" t="s">
        <v>106</v>
      </c>
      <c r="K24" s="41">
        <v>941</v>
      </c>
      <c r="L24" s="41" t="s">
        <v>107</v>
      </c>
      <c r="M24" s="42" t="s">
        <v>58</v>
      </c>
      <c r="N24" s="42"/>
      <c r="O24" s="43" t="s">
        <v>99</v>
      </c>
      <c r="P24" s="43" t="s">
        <v>100</v>
      </c>
    </row>
    <row r="25" spans="1:16" ht="12.75" customHeight="1" thickBot="1">
      <c r="A25" s="10" t="str">
        <f t="shared" si="0"/>
        <v> MVS 6.54 </v>
      </c>
      <c r="B25" s="3" t="str">
        <f t="shared" si="1"/>
        <v>I</v>
      </c>
      <c r="C25" s="10">
        <f t="shared" si="2"/>
        <v>37347.275999999998</v>
      </c>
      <c r="D25" s="12" t="str">
        <f t="shared" si="3"/>
        <v>vis</v>
      </c>
      <c r="E25" s="40">
        <f>VLOOKUP(C25,Active!C$21:E$973,3,FALSE)</f>
        <v>944.00088728495052</v>
      </c>
      <c r="F25" s="3" t="s">
        <v>52</v>
      </c>
      <c r="G25" s="12" t="str">
        <f t="shared" si="4"/>
        <v>37347.276</v>
      </c>
      <c r="H25" s="10">
        <f t="shared" si="5"/>
        <v>944</v>
      </c>
      <c r="I25" s="41" t="s">
        <v>108</v>
      </c>
      <c r="J25" s="42" t="s">
        <v>109</v>
      </c>
      <c r="K25" s="41">
        <v>944</v>
      </c>
      <c r="L25" s="41" t="s">
        <v>110</v>
      </c>
      <c r="M25" s="42" t="s">
        <v>58</v>
      </c>
      <c r="N25" s="42"/>
      <c r="O25" s="43" t="s">
        <v>99</v>
      </c>
      <c r="P25" s="43" t="s">
        <v>100</v>
      </c>
    </row>
    <row r="26" spans="1:16" ht="12.75" customHeight="1" thickBot="1">
      <c r="A26" s="10" t="str">
        <f t="shared" si="0"/>
        <v> MVS 6.54 </v>
      </c>
      <c r="B26" s="3" t="str">
        <f t="shared" si="1"/>
        <v>I</v>
      </c>
      <c r="C26" s="10">
        <f t="shared" si="2"/>
        <v>38331.574999999997</v>
      </c>
      <c r="D26" s="12" t="str">
        <f t="shared" si="3"/>
        <v>vis</v>
      </c>
      <c r="E26" s="40">
        <f>VLOOKUP(C26,Active!C$21:E$973,3,FALSE)</f>
        <v>1027.9772036020354</v>
      </c>
      <c r="F26" s="3" t="s">
        <v>52</v>
      </c>
      <c r="G26" s="12" t="str">
        <f t="shared" si="4"/>
        <v>38331.575</v>
      </c>
      <c r="H26" s="10">
        <f t="shared" si="5"/>
        <v>1028</v>
      </c>
      <c r="I26" s="41" t="s">
        <v>111</v>
      </c>
      <c r="J26" s="42" t="s">
        <v>112</v>
      </c>
      <c r="K26" s="41">
        <v>1028</v>
      </c>
      <c r="L26" s="41" t="s">
        <v>113</v>
      </c>
      <c r="M26" s="42" t="s">
        <v>58</v>
      </c>
      <c r="N26" s="42"/>
      <c r="O26" s="43" t="s">
        <v>99</v>
      </c>
      <c r="P26" s="43" t="s">
        <v>100</v>
      </c>
    </row>
    <row r="27" spans="1:16" ht="12.75" customHeight="1" thickBot="1">
      <c r="A27" s="10" t="str">
        <f t="shared" si="0"/>
        <v> MVS 6.54 </v>
      </c>
      <c r="B27" s="3" t="str">
        <f t="shared" si="1"/>
        <v>I</v>
      </c>
      <c r="C27" s="10">
        <f t="shared" si="2"/>
        <v>38671.493999999999</v>
      </c>
      <c r="D27" s="12" t="str">
        <f t="shared" si="3"/>
        <v>vis</v>
      </c>
      <c r="E27" s="40">
        <f>VLOOKUP(C27,Active!C$21:E$973,3,FALSE)</f>
        <v>1056.9776856366482</v>
      </c>
      <c r="F27" s="3" t="s">
        <v>52</v>
      </c>
      <c r="G27" s="12" t="str">
        <f t="shared" si="4"/>
        <v>38671.494</v>
      </c>
      <c r="H27" s="10">
        <f t="shared" si="5"/>
        <v>1057</v>
      </c>
      <c r="I27" s="41" t="s">
        <v>114</v>
      </c>
      <c r="J27" s="42" t="s">
        <v>115</v>
      </c>
      <c r="K27" s="41">
        <v>1057</v>
      </c>
      <c r="L27" s="41" t="s">
        <v>116</v>
      </c>
      <c r="M27" s="42" t="s">
        <v>58</v>
      </c>
      <c r="N27" s="42"/>
      <c r="O27" s="43" t="s">
        <v>99</v>
      </c>
      <c r="P27" s="43" t="s">
        <v>100</v>
      </c>
    </row>
    <row r="28" spans="1:16" ht="12.75" customHeight="1" thickBot="1">
      <c r="A28" s="10" t="str">
        <f t="shared" si="0"/>
        <v> MVS 6.54 </v>
      </c>
      <c r="B28" s="3" t="str">
        <f t="shared" si="1"/>
        <v>I</v>
      </c>
      <c r="C28" s="10">
        <f t="shared" si="2"/>
        <v>39058.453000000001</v>
      </c>
      <c r="D28" s="12" t="str">
        <f t="shared" si="3"/>
        <v>vis</v>
      </c>
      <c r="E28" s="40">
        <f>VLOOKUP(C28,Active!C$21:E$973,3,FALSE)</f>
        <v>1089.9914257560054</v>
      </c>
      <c r="F28" s="3" t="s">
        <v>52</v>
      </c>
      <c r="G28" s="12" t="str">
        <f t="shared" si="4"/>
        <v>39058.453</v>
      </c>
      <c r="H28" s="10">
        <f t="shared" si="5"/>
        <v>1090</v>
      </c>
      <c r="I28" s="41" t="s">
        <v>117</v>
      </c>
      <c r="J28" s="42" t="s">
        <v>118</v>
      </c>
      <c r="K28" s="41">
        <v>1090</v>
      </c>
      <c r="L28" s="41" t="s">
        <v>119</v>
      </c>
      <c r="M28" s="42" t="s">
        <v>58</v>
      </c>
      <c r="N28" s="42"/>
      <c r="O28" s="43" t="s">
        <v>99</v>
      </c>
      <c r="P28" s="43" t="s">
        <v>100</v>
      </c>
    </row>
    <row r="29" spans="1:16" ht="12.75" customHeight="1" thickBot="1">
      <c r="A29" s="10" t="str">
        <f t="shared" si="0"/>
        <v> HABZ 57 </v>
      </c>
      <c r="B29" s="3" t="str">
        <f t="shared" si="1"/>
        <v>I</v>
      </c>
      <c r="C29" s="10">
        <f t="shared" si="2"/>
        <v>39058.620000000003</v>
      </c>
      <c r="D29" s="12" t="str">
        <f t="shared" si="3"/>
        <v>vis</v>
      </c>
      <c r="E29" s="40">
        <f>VLOOKUP(C29,Active!C$21:E$973,3,FALSE)</f>
        <v>1090.0056735047331</v>
      </c>
      <c r="F29" s="3" t="s">
        <v>52</v>
      </c>
      <c r="G29" s="12" t="str">
        <f t="shared" si="4"/>
        <v>39058.620</v>
      </c>
      <c r="H29" s="10">
        <f t="shared" si="5"/>
        <v>1090</v>
      </c>
      <c r="I29" s="41" t="s">
        <v>120</v>
      </c>
      <c r="J29" s="42" t="s">
        <v>121</v>
      </c>
      <c r="K29" s="41">
        <v>1090</v>
      </c>
      <c r="L29" s="41" t="s">
        <v>122</v>
      </c>
      <c r="M29" s="42" t="s">
        <v>58</v>
      </c>
      <c r="N29" s="42"/>
      <c r="O29" s="43" t="s">
        <v>123</v>
      </c>
      <c r="P29" s="43" t="s">
        <v>124</v>
      </c>
    </row>
    <row r="30" spans="1:16" ht="12.75" customHeight="1" thickBot="1">
      <c r="A30" s="10" t="str">
        <f t="shared" si="0"/>
        <v> MVS 6.54 </v>
      </c>
      <c r="B30" s="3" t="str">
        <f t="shared" si="1"/>
        <v>I</v>
      </c>
      <c r="C30" s="10">
        <f t="shared" si="2"/>
        <v>39609.345000000001</v>
      </c>
      <c r="D30" s="12" t="str">
        <f t="shared" si="3"/>
        <v>vis</v>
      </c>
      <c r="E30" s="40">
        <f>VLOOKUP(C30,Active!C$21:E$973,3,FALSE)</f>
        <v>1136.991250858491</v>
      </c>
      <c r="F30" s="3" t="s">
        <v>52</v>
      </c>
      <c r="G30" s="12" t="str">
        <f t="shared" si="4"/>
        <v>39609.345</v>
      </c>
      <c r="H30" s="10">
        <f t="shared" si="5"/>
        <v>1137</v>
      </c>
      <c r="I30" s="41" t="s">
        <v>125</v>
      </c>
      <c r="J30" s="42" t="s">
        <v>126</v>
      </c>
      <c r="K30" s="41">
        <v>1137</v>
      </c>
      <c r="L30" s="41" t="s">
        <v>127</v>
      </c>
      <c r="M30" s="42" t="s">
        <v>58</v>
      </c>
      <c r="N30" s="42"/>
      <c r="O30" s="43" t="s">
        <v>99</v>
      </c>
      <c r="P30" s="43" t="s">
        <v>100</v>
      </c>
    </row>
    <row r="31" spans="1:16" ht="12.75" customHeight="1" thickBot="1">
      <c r="A31" s="10" t="str">
        <f t="shared" si="0"/>
        <v> MVS 6.54 </v>
      </c>
      <c r="B31" s="3" t="str">
        <f t="shared" si="1"/>
        <v>I</v>
      </c>
      <c r="C31" s="10">
        <f t="shared" si="2"/>
        <v>40066.508000000002</v>
      </c>
      <c r="D31" s="12" t="str">
        <f t="shared" si="3"/>
        <v>vis</v>
      </c>
      <c r="E31" s="40">
        <f>VLOOKUP(C31,Active!C$21:E$973,3,FALSE)</f>
        <v>1175.9945056585746</v>
      </c>
      <c r="F31" s="3" t="s">
        <v>52</v>
      </c>
      <c r="G31" s="12" t="str">
        <f t="shared" si="4"/>
        <v>40066.508</v>
      </c>
      <c r="H31" s="10">
        <f t="shared" si="5"/>
        <v>1176</v>
      </c>
      <c r="I31" s="41" t="s">
        <v>128</v>
      </c>
      <c r="J31" s="42" t="s">
        <v>129</v>
      </c>
      <c r="K31" s="41">
        <v>1176</v>
      </c>
      <c r="L31" s="41" t="s">
        <v>130</v>
      </c>
      <c r="M31" s="42" t="s">
        <v>58</v>
      </c>
      <c r="N31" s="42"/>
      <c r="O31" s="43" t="s">
        <v>99</v>
      </c>
      <c r="P31" s="43" t="s">
        <v>100</v>
      </c>
    </row>
    <row r="32" spans="1:16" ht="12.75" customHeight="1" thickBot="1">
      <c r="A32" s="10" t="str">
        <f t="shared" si="0"/>
        <v> MVS 6.54 </v>
      </c>
      <c r="B32" s="3" t="str">
        <f t="shared" si="1"/>
        <v>I</v>
      </c>
      <c r="C32" s="10">
        <f t="shared" si="2"/>
        <v>40101.557999999997</v>
      </c>
      <c r="D32" s="12" t="str">
        <f t="shared" si="3"/>
        <v>vis</v>
      </c>
      <c r="E32" s="40">
        <f>VLOOKUP(C32,Active!C$21:E$973,3,FALSE)</f>
        <v>1178.9848265741841</v>
      </c>
      <c r="F32" s="3" t="s">
        <v>52</v>
      </c>
      <c r="G32" s="12" t="str">
        <f t="shared" si="4"/>
        <v>40101.558</v>
      </c>
      <c r="H32" s="10">
        <f t="shared" si="5"/>
        <v>1179</v>
      </c>
      <c r="I32" s="41" t="s">
        <v>131</v>
      </c>
      <c r="J32" s="42" t="s">
        <v>132</v>
      </c>
      <c r="K32" s="41">
        <v>1179</v>
      </c>
      <c r="L32" s="41" t="s">
        <v>133</v>
      </c>
      <c r="M32" s="42" t="s">
        <v>58</v>
      </c>
      <c r="N32" s="42"/>
      <c r="O32" s="43" t="s">
        <v>99</v>
      </c>
      <c r="P32" s="43" t="s">
        <v>100</v>
      </c>
    </row>
    <row r="33" spans="1:16" ht="12.75" customHeight="1" thickBot="1">
      <c r="A33" s="10" t="str">
        <f t="shared" si="0"/>
        <v> MVS 6.54 </v>
      </c>
      <c r="B33" s="3" t="str">
        <f t="shared" si="1"/>
        <v>I</v>
      </c>
      <c r="C33" s="10">
        <f t="shared" si="2"/>
        <v>40148.476000000002</v>
      </c>
      <c r="D33" s="12" t="str">
        <f t="shared" si="3"/>
        <v>vis</v>
      </c>
      <c r="E33" s="40">
        <f>VLOOKUP(C33,Active!C$21:E$973,3,FALSE)</f>
        <v>1182.98767612393</v>
      </c>
      <c r="F33" s="3" t="s">
        <v>52</v>
      </c>
      <c r="G33" s="12" t="str">
        <f t="shared" si="4"/>
        <v>40148.476</v>
      </c>
      <c r="H33" s="10">
        <f t="shared" si="5"/>
        <v>1183</v>
      </c>
      <c r="I33" s="41" t="s">
        <v>134</v>
      </c>
      <c r="J33" s="42" t="s">
        <v>135</v>
      </c>
      <c r="K33" s="41">
        <v>1183</v>
      </c>
      <c r="L33" s="41" t="s">
        <v>136</v>
      </c>
      <c r="M33" s="42" t="s">
        <v>58</v>
      </c>
      <c r="N33" s="42"/>
      <c r="O33" s="43" t="s">
        <v>99</v>
      </c>
      <c r="P33" s="43" t="s">
        <v>100</v>
      </c>
    </row>
    <row r="34" spans="1:16" ht="12.75" customHeight="1" thickBot="1">
      <c r="A34" s="10" t="str">
        <f t="shared" si="0"/>
        <v> HABZ 57 </v>
      </c>
      <c r="B34" s="3" t="str">
        <f t="shared" si="1"/>
        <v>I</v>
      </c>
      <c r="C34" s="10">
        <f t="shared" si="2"/>
        <v>40828.472000000002</v>
      </c>
      <c r="D34" s="12" t="str">
        <f t="shared" si="3"/>
        <v>vis</v>
      </c>
      <c r="E34" s="40">
        <f>VLOOKUP(C34,Active!C$21:E$973,3,FALSE)</f>
        <v>1241.0021200991373</v>
      </c>
      <c r="F34" s="3" t="s">
        <v>52</v>
      </c>
      <c r="G34" s="12" t="str">
        <f t="shared" si="4"/>
        <v>40828.472</v>
      </c>
      <c r="H34" s="10">
        <f t="shared" si="5"/>
        <v>1241</v>
      </c>
      <c r="I34" s="41" t="s">
        <v>137</v>
      </c>
      <c r="J34" s="42" t="s">
        <v>138</v>
      </c>
      <c r="K34" s="41">
        <v>1241</v>
      </c>
      <c r="L34" s="41" t="s">
        <v>139</v>
      </c>
      <c r="M34" s="42" t="s">
        <v>58</v>
      </c>
      <c r="N34" s="42"/>
      <c r="O34" s="43" t="s">
        <v>123</v>
      </c>
      <c r="P34" s="43" t="s">
        <v>124</v>
      </c>
    </row>
    <row r="35" spans="1:16" ht="12.75" customHeight="1" thickBot="1">
      <c r="A35" s="10" t="str">
        <f t="shared" si="0"/>
        <v> MVS 6.54 </v>
      </c>
      <c r="B35" s="3" t="str">
        <f t="shared" si="1"/>
        <v>I</v>
      </c>
      <c r="C35" s="10">
        <f t="shared" si="2"/>
        <v>41039.334999999999</v>
      </c>
      <c r="D35" s="12" t="str">
        <f t="shared" si="3"/>
        <v>vis</v>
      </c>
      <c r="E35" s="40">
        <f>VLOOKUP(C35,Active!C$21:E$973,3,FALSE)</f>
        <v>1258.9920784223391</v>
      </c>
      <c r="F35" s="3" t="s">
        <v>52</v>
      </c>
      <c r="G35" s="12" t="str">
        <f t="shared" si="4"/>
        <v>41039.335</v>
      </c>
      <c r="H35" s="10">
        <f t="shared" si="5"/>
        <v>1259</v>
      </c>
      <c r="I35" s="41" t="s">
        <v>140</v>
      </c>
      <c r="J35" s="42" t="s">
        <v>141</v>
      </c>
      <c r="K35" s="41">
        <v>1259</v>
      </c>
      <c r="L35" s="41" t="s">
        <v>142</v>
      </c>
      <c r="M35" s="42" t="s">
        <v>58</v>
      </c>
      <c r="N35" s="42"/>
      <c r="O35" s="43" t="s">
        <v>99</v>
      </c>
      <c r="P35" s="43" t="s">
        <v>100</v>
      </c>
    </row>
    <row r="36" spans="1:16" ht="12.75" customHeight="1" thickBot="1">
      <c r="A36" s="10" t="str">
        <f t="shared" si="0"/>
        <v> HABZ 57 </v>
      </c>
      <c r="B36" s="3" t="str">
        <f t="shared" si="1"/>
        <v>II</v>
      </c>
      <c r="C36" s="10">
        <f t="shared" si="2"/>
        <v>41596.311999999998</v>
      </c>
      <c r="D36" s="12" t="str">
        <f t="shared" si="3"/>
        <v>vis</v>
      </c>
      <c r="E36" s="40">
        <f>VLOOKUP(C36,Active!C$21:E$973,3,FALSE)</f>
        <v>1306.51105053685</v>
      </c>
      <c r="F36" s="3" t="s">
        <v>52</v>
      </c>
      <c r="G36" s="12" t="str">
        <f t="shared" si="4"/>
        <v>41596.312</v>
      </c>
      <c r="H36" s="10">
        <f t="shared" si="5"/>
        <v>1306.5</v>
      </c>
      <c r="I36" s="41" t="s">
        <v>143</v>
      </c>
      <c r="J36" s="42" t="s">
        <v>144</v>
      </c>
      <c r="K36" s="41">
        <v>1306.5</v>
      </c>
      <c r="L36" s="41" t="s">
        <v>145</v>
      </c>
      <c r="M36" s="42" t="s">
        <v>58</v>
      </c>
      <c r="N36" s="42"/>
      <c r="O36" s="43" t="s">
        <v>123</v>
      </c>
      <c r="P36" s="43" t="s">
        <v>124</v>
      </c>
    </row>
    <row r="37" spans="1:16" ht="12.75" customHeight="1" thickBot="1">
      <c r="A37" s="10" t="str">
        <f t="shared" si="0"/>
        <v> AN 301.327 </v>
      </c>
      <c r="B37" s="3" t="str">
        <f t="shared" si="1"/>
        <v>I</v>
      </c>
      <c r="C37" s="10">
        <f t="shared" si="2"/>
        <v>42832.69</v>
      </c>
      <c r="D37" s="12" t="str">
        <f t="shared" si="3"/>
        <v>vis</v>
      </c>
      <c r="E37" s="40">
        <f>VLOOKUP(C37,Active!C$21:E$973,3,FALSE)</f>
        <v>1411.9937036894846</v>
      </c>
      <c r="F37" s="3" t="s">
        <v>52</v>
      </c>
      <c r="G37" s="12" t="str">
        <f t="shared" si="4"/>
        <v>42832.69</v>
      </c>
      <c r="H37" s="10">
        <f t="shared" si="5"/>
        <v>1412</v>
      </c>
      <c r="I37" s="41" t="s">
        <v>146</v>
      </c>
      <c r="J37" s="42" t="s">
        <v>147</v>
      </c>
      <c r="K37" s="41">
        <v>1412</v>
      </c>
      <c r="L37" s="41" t="s">
        <v>72</v>
      </c>
      <c r="M37" s="42" t="s">
        <v>67</v>
      </c>
      <c r="N37" s="42"/>
      <c r="O37" s="43" t="s">
        <v>148</v>
      </c>
      <c r="P37" s="43" t="s">
        <v>149</v>
      </c>
    </row>
    <row r="38" spans="1:16" ht="12.75" customHeight="1" thickBot="1">
      <c r="A38" s="10" t="str">
        <f t="shared" si="0"/>
        <v> PASP 97.731 </v>
      </c>
      <c r="B38" s="3" t="str">
        <f t="shared" si="1"/>
        <v>I</v>
      </c>
      <c r="C38" s="10">
        <f t="shared" si="2"/>
        <v>46056.031999999999</v>
      </c>
      <c r="D38" s="12" t="str">
        <f t="shared" si="3"/>
        <v>vis</v>
      </c>
      <c r="E38" s="40">
        <f>VLOOKUP(C38,Active!C$21:E$973,3,FALSE)</f>
        <v>1686.9959005728961</v>
      </c>
      <c r="F38" s="3" t="s">
        <v>52</v>
      </c>
      <c r="G38" s="12" t="str">
        <f t="shared" si="4"/>
        <v>46056.032</v>
      </c>
      <c r="H38" s="10">
        <f t="shared" si="5"/>
        <v>1687</v>
      </c>
      <c r="I38" s="41" t="s">
        <v>152</v>
      </c>
      <c r="J38" s="42" t="s">
        <v>153</v>
      </c>
      <c r="K38" s="41">
        <v>1687</v>
      </c>
      <c r="L38" s="41" t="s">
        <v>154</v>
      </c>
      <c r="M38" s="42" t="s">
        <v>155</v>
      </c>
      <c r="N38" s="42" t="s">
        <v>156</v>
      </c>
      <c r="O38" s="43" t="s">
        <v>157</v>
      </c>
      <c r="P38" s="43" t="s">
        <v>158</v>
      </c>
    </row>
    <row r="39" spans="1:16" ht="12.75" customHeight="1" thickBot="1">
      <c r="A39" s="10" t="str">
        <f t="shared" si="0"/>
        <v>BAVM 122 </v>
      </c>
      <c r="B39" s="3" t="str">
        <f t="shared" si="1"/>
        <v>I</v>
      </c>
      <c r="C39" s="10">
        <f t="shared" si="2"/>
        <v>51236.63</v>
      </c>
      <c r="D39" s="12" t="str">
        <f t="shared" si="3"/>
        <v>vis</v>
      </c>
      <c r="E39" s="40">
        <f>VLOOKUP(C39,Active!C$21:E$973,3,FALSE)</f>
        <v>2128.9830775990408</v>
      </c>
      <c r="F39" s="3" t="s">
        <v>52</v>
      </c>
      <c r="G39" s="12" t="str">
        <f t="shared" si="4"/>
        <v>51236.63</v>
      </c>
      <c r="H39" s="10">
        <f t="shared" si="5"/>
        <v>2129</v>
      </c>
      <c r="I39" s="41" t="s">
        <v>159</v>
      </c>
      <c r="J39" s="42" t="s">
        <v>160</v>
      </c>
      <c r="K39" s="41">
        <v>2129</v>
      </c>
      <c r="L39" s="41" t="s">
        <v>161</v>
      </c>
      <c r="M39" s="42" t="s">
        <v>67</v>
      </c>
      <c r="N39" s="42"/>
      <c r="O39" s="43" t="s">
        <v>162</v>
      </c>
      <c r="P39" s="44" t="s">
        <v>163</v>
      </c>
    </row>
    <row r="40" spans="1:16" ht="12.75" customHeight="1" thickBot="1">
      <c r="A40" s="10" t="str">
        <f t="shared" si="0"/>
        <v>BAVM 131 </v>
      </c>
      <c r="B40" s="3" t="str">
        <f t="shared" si="1"/>
        <v>I</v>
      </c>
      <c r="C40" s="10">
        <f t="shared" si="2"/>
        <v>51601.16</v>
      </c>
      <c r="D40" s="12" t="str">
        <f t="shared" si="3"/>
        <v>vis</v>
      </c>
      <c r="E40" s="40">
        <f>VLOOKUP(C40,Active!C$21:E$973,3,FALSE)</f>
        <v>2160.0832682799901</v>
      </c>
      <c r="F40" s="3" t="s">
        <v>52</v>
      </c>
      <c r="G40" s="12" t="str">
        <f t="shared" si="4"/>
        <v>51601.16</v>
      </c>
      <c r="H40" s="10">
        <f t="shared" si="5"/>
        <v>2160</v>
      </c>
      <c r="I40" s="41" t="s">
        <v>164</v>
      </c>
      <c r="J40" s="42" t="s">
        <v>165</v>
      </c>
      <c r="K40" s="41">
        <v>2160</v>
      </c>
      <c r="L40" s="41" t="s">
        <v>166</v>
      </c>
      <c r="M40" s="42" t="s">
        <v>67</v>
      </c>
      <c r="N40" s="42"/>
      <c r="O40" s="43" t="s">
        <v>167</v>
      </c>
      <c r="P40" s="44" t="s">
        <v>168</v>
      </c>
    </row>
    <row r="41" spans="1:16" ht="12.75" customHeight="1" thickBot="1">
      <c r="A41" s="10" t="str">
        <f t="shared" si="0"/>
        <v>BAVM 143 </v>
      </c>
      <c r="B41" s="3" t="str">
        <f t="shared" si="1"/>
        <v>I</v>
      </c>
      <c r="C41" s="10">
        <f t="shared" si="2"/>
        <v>51799.231</v>
      </c>
      <c r="D41" s="12" t="str">
        <f t="shared" si="3"/>
        <v>vis</v>
      </c>
      <c r="E41" s="40">
        <f>VLOOKUP(C41,Active!C$21:E$973,3,FALSE)</f>
        <v>2176.9818661138197</v>
      </c>
      <c r="F41" s="3" t="s">
        <v>52</v>
      </c>
      <c r="G41" s="12" t="str">
        <f t="shared" si="4"/>
        <v>51799.231</v>
      </c>
      <c r="H41" s="10">
        <f t="shared" si="5"/>
        <v>2177</v>
      </c>
      <c r="I41" s="41" t="s">
        <v>169</v>
      </c>
      <c r="J41" s="42" t="s">
        <v>170</v>
      </c>
      <c r="K41" s="41">
        <v>2177</v>
      </c>
      <c r="L41" s="41" t="s">
        <v>171</v>
      </c>
      <c r="M41" s="42" t="s">
        <v>67</v>
      </c>
      <c r="N41" s="42"/>
      <c r="O41" s="43" t="s">
        <v>162</v>
      </c>
      <c r="P41" s="44" t="s">
        <v>172</v>
      </c>
    </row>
    <row r="42" spans="1:16" ht="12.75" customHeight="1" thickBot="1">
      <c r="A42" s="10" t="str">
        <f t="shared" si="0"/>
        <v>BAVM 171 </v>
      </c>
      <c r="B42" s="3" t="str">
        <f t="shared" si="1"/>
        <v>I</v>
      </c>
      <c r="C42" s="10">
        <f t="shared" si="2"/>
        <v>52900.92</v>
      </c>
      <c r="D42" s="12" t="str">
        <f t="shared" si="3"/>
        <v>vis</v>
      </c>
      <c r="E42" s="40">
        <f>VLOOKUP(C42,Active!C$21:E$973,3,FALSE)</f>
        <v>2270.9734113120298</v>
      </c>
      <c r="F42" s="3" t="s">
        <v>52</v>
      </c>
      <c r="G42" s="12" t="str">
        <f t="shared" si="4"/>
        <v>52900.92</v>
      </c>
      <c r="H42" s="10">
        <f t="shared" si="5"/>
        <v>2271</v>
      </c>
      <c r="I42" s="41" t="s">
        <v>173</v>
      </c>
      <c r="J42" s="42" t="s">
        <v>174</v>
      </c>
      <c r="K42" s="41">
        <v>2271</v>
      </c>
      <c r="L42" s="41" t="s">
        <v>175</v>
      </c>
      <c r="M42" s="42" t="s">
        <v>67</v>
      </c>
      <c r="N42" s="42"/>
      <c r="O42" s="43" t="s">
        <v>162</v>
      </c>
      <c r="P42" s="44" t="s">
        <v>176</v>
      </c>
    </row>
    <row r="43" spans="1:16" ht="12.75" customHeight="1" thickBot="1">
      <c r="A43" s="10" t="str">
        <f t="shared" si="0"/>
        <v>BAVM 192 </v>
      </c>
      <c r="B43" s="3" t="str">
        <f t="shared" si="1"/>
        <v>I</v>
      </c>
      <c r="C43" s="10">
        <f t="shared" si="2"/>
        <v>54002.874000000003</v>
      </c>
      <c r="D43" s="12" t="str">
        <f t="shared" si="3"/>
        <v>vis</v>
      </c>
      <c r="E43" s="40">
        <f>VLOOKUP(C43,Active!C$21:E$973,3,FALSE)</f>
        <v>2364.9875652133114</v>
      </c>
      <c r="F43" s="3" t="s">
        <v>52</v>
      </c>
      <c r="G43" s="12" t="str">
        <f t="shared" si="4"/>
        <v>54002.874</v>
      </c>
      <c r="H43" s="10">
        <f t="shared" si="5"/>
        <v>2365</v>
      </c>
      <c r="I43" s="41" t="s">
        <v>183</v>
      </c>
      <c r="J43" s="42" t="s">
        <v>184</v>
      </c>
      <c r="K43" s="41">
        <v>2365</v>
      </c>
      <c r="L43" s="41" t="s">
        <v>185</v>
      </c>
      <c r="M43" s="42" t="s">
        <v>67</v>
      </c>
      <c r="N43" s="42"/>
      <c r="O43" s="43" t="s">
        <v>162</v>
      </c>
      <c r="P43" s="44" t="s">
        <v>186</v>
      </c>
    </row>
    <row r="44" spans="1:16" ht="12.75" customHeight="1" thickBot="1">
      <c r="A44" s="10" t="str">
        <f t="shared" si="0"/>
        <v>BAVM 212 </v>
      </c>
      <c r="B44" s="3" t="str">
        <f t="shared" si="1"/>
        <v>I</v>
      </c>
      <c r="C44" s="10">
        <f t="shared" si="2"/>
        <v>55081.317999999999</v>
      </c>
      <c r="D44" s="12" t="str">
        <f t="shared" si="3"/>
        <v>vis</v>
      </c>
      <c r="E44" s="40">
        <f>VLOOKUP(C44,Active!C$21:E$973,3,FALSE)</f>
        <v>2456.9959432308265</v>
      </c>
      <c r="F44" s="3" t="s">
        <v>52</v>
      </c>
      <c r="G44" s="12" t="str">
        <f t="shared" si="4"/>
        <v>55081.3180</v>
      </c>
      <c r="H44" s="10">
        <f t="shared" si="5"/>
        <v>2457</v>
      </c>
      <c r="I44" s="41" t="s">
        <v>187</v>
      </c>
      <c r="J44" s="42" t="s">
        <v>188</v>
      </c>
      <c r="K44" s="41">
        <v>2457</v>
      </c>
      <c r="L44" s="41" t="s">
        <v>189</v>
      </c>
      <c r="M44" s="42" t="s">
        <v>180</v>
      </c>
      <c r="N44" s="42" t="s">
        <v>190</v>
      </c>
      <c r="O44" s="43" t="s">
        <v>191</v>
      </c>
      <c r="P44" s="44" t="s">
        <v>192</v>
      </c>
    </row>
    <row r="45" spans="1:16" ht="12.75" customHeight="1" thickBot="1">
      <c r="A45" s="10" t="str">
        <f t="shared" si="0"/>
        <v>BAVM 225 </v>
      </c>
      <c r="B45" s="3" t="str">
        <f t="shared" si="1"/>
        <v>I</v>
      </c>
      <c r="C45" s="10">
        <f t="shared" si="2"/>
        <v>55808.04</v>
      </c>
      <c r="D45" s="12" t="str">
        <f t="shared" si="3"/>
        <v>vis</v>
      </c>
      <c r="E45" s="40">
        <f>VLOOKUP(C45,Active!C$21:E$973,3,FALSE)</f>
        <v>2518.9968561105352</v>
      </c>
      <c r="F45" s="3" t="s">
        <v>52</v>
      </c>
      <c r="G45" s="12" t="str">
        <f t="shared" si="4"/>
        <v>55808.0400</v>
      </c>
      <c r="H45" s="10">
        <f t="shared" si="5"/>
        <v>2519</v>
      </c>
      <c r="I45" s="41" t="s">
        <v>193</v>
      </c>
      <c r="J45" s="42" t="s">
        <v>194</v>
      </c>
      <c r="K45" s="41" t="s">
        <v>195</v>
      </c>
      <c r="L45" s="41" t="s">
        <v>196</v>
      </c>
      <c r="M45" s="42" t="s">
        <v>180</v>
      </c>
      <c r="N45" s="42" t="s">
        <v>190</v>
      </c>
      <c r="O45" s="43" t="s">
        <v>191</v>
      </c>
      <c r="P45" s="44" t="s">
        <v>197</v>
      </c>
    </row>
    <row r="46" spans="1:16">
      <c r="B46" s="3"/>
      <c r="F46" s="3"/>
    </row>
    <row r="47" spans="1:16">
      <c r="B47" s="3"/>
      <c r="F47" s="3"/>
    </row>
    <row r="48" spans="1:1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</sheetData>
  <phoneticPr fontId="7" type="noConversion"/>
  <hyperlinks>
    <hyperlink ref="A3" r:id="rId1"/>
    <hyperlink ref="P39" r:id="rId2" display="http://www.bav-astro.de/sfs/BAVM_link.php?BAVMnr=122"/>
    <hyperlink ref="P40" r:id="rId3" display="http://www.bav-astro.de/sfs/BAVM_link.php?BAVMnr=131"/>
    <hyperlink ref="P41" r:id="rId4" display="http://www.bav-astro.de/sfs/BAVM_link.php?BAVMnr=143"/>
    <hyperlink ref="P42" r:id="rId5" display="http://www.bav-astro.de/sfs/BAVM_link.php?BAVMnr=171"/>
    <hyperlink ref="P12" r:id="rId6" display="http://www.konkoly.hu/cgi-bin/IBVS?5931"/>
    <hyperlink ref="P43" r:id="rId7" display="http://www.bav-astro.de/sfs/BAVM_link.php?BAVMnr=192"/>
    <hyperlink ref="P44" r:id="rId8" display="http://www.bav-astro.de/sfs/BAVM_link.php?BAVMnr=212"/>
    <hyperlink ref="P45" r:id="rId9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2024-01-19T02:16:49Z</dcterms:modified>
</cp:coreProperties>
</file>