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40009_{D6FA8372-8233-4D97-B57A-C52D927B855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17" i="1" l="1"/>
  <c r="E23" i="1"/>
  <c r="F23" i="1"/>
  <c r="G23" i="1"/>
  <c r="I23" i="1"/>
  <c r="E25" i="1"/>
  <c r="F25" i="1"/>
  <c r="Q22" i="1"/>
  <c r="Q23" i="1"/>
  <c r="Q25" i="1"/>
  <c r="G14" i="2"/>
  <c r="C14" i="2"/>
  <c r="E14" i="2"/>
  <c r="G11" i="2"/>
  <c r="C11" i="2"/>
  <c r="G13" i="2"/>
  <c r="C13" i="2"/>
  <c r="E13" i="2"/>
  <c r="G12" i="2"/>
  <c r="C12" i="2"/>
  <c r="H14" i="2"/>
  <c r="B14" i="2"/>
  <c r="D14" i="2"/>
  <c r="A14" i="2"/>
  <c r="H11" i="2"/>
  <c r="D11" i="2"/>
  <c r="B11" i="2"/>
  <c r="A11" i="2"/>
  <c r="H13" i="2"/>
  <c r="B13" i="2"/>
  <c r="D13" i="2"/>
  <c r="A13" i="2"/>
  <c r="H12" i="2"/>
  <c r="D12" i="2"/>
  <c r="B12" i="2"/>
  <c r="A12" i="2"/>
  <c r="F16" i="1"/>
  <c r="D9" i="1"/>
  <c r="C9" i="1"/>
  <c r="Q24" i="1"/>
  <c r="C19" i="1"/>
  <c r="C8" i="1"/>
  <c r="C7" i="1"/>
  <c r="E22" i="1"/>
  <c r="F22" i="1"/>
  <c r="Q21" i="1"/>
  <c r="E12" i="2"/>
  <c r="E24" i="1"/>
  <c r="E21" i="1"/>
  <c r="F21" i="1"/>
  <c r="G21" i="1"/>
  <c r="G22" i="1"/>
  <c r="I22" i="1"/>
  <c r="G25" i="1"/>
  <c r="I25" i="1"/>
  <c r="H21" i="1"/>
  <c r="F24" i="1"/>
  <c r="G24" i="1"/>
  <c r="E11" i="2"/>
  <c r="K24" i="1"/>
  <c r="C12" i="1"/>
  <c r="C11" i="1"/>
  <c r="O23" i="1" l="1"/>
  <c r="C15" i="1"/>
  <c r="F18" i="1" s="1"/>
  <c r="O25" i="1"/>
  <c r="O22" i="1"/>
  <c r="O24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<sst xmlns="http://schemas.openxmlformats.org/spreadsheetml/2006/main" count="100" uniqueCount="75">
  <si>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</si>
  <si>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</si>
  <si>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</si>
  <si>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</si>
  <si>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</si>
  <si>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</si>
  <si>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</si>
  <si>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</si>
  <si>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</si>
  <si>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</si>
  <si>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</si>
  <si>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</si>
  <si>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</si>
  <si>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</si>
  <si>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</si>
  <si>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</si>
  <si>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</si>
  <si>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</si>
  <si>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</si>
  <si>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</si>
  <si>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</si>
  <si>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</si>
  <si>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</si>
  <si>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</si>
  <si>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</si>
  <si>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</si>
  <si>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</si>
  <si>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</si>
  <si>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EA</t>
  </si>
  <si>
    <t>BN Cas / gsc 4017-1410?</t>
  </si>
  <si>
    <t>IBVS 5984</t>
  </si>
  <si>
    <t>Start of linear fit &gt;&gt;&gt;&gt;&gt;&gt;&gt;&gt;&gt;&gt;&gt;&gt;&gt;&gt;&gt;&gt;&gt;&gt;&gt;&gt;&gt;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</si>
  <si>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</si>
  <si>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</si>
  <si>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</si>
  <si>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</si>
  <si>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</si>
  <si>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</si>
  <si>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</si>
  <si>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</si>
  <si>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</si>
  <si>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</si>
  <si>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</si>
  <si>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</si>
  <si>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</si>
  <si>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</si>
  <si>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</si>
  <si>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</si>
  <si>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</si>
  <si>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</si>
  <si>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2454308.5023 </t>
  </si>
  <si>
    <t> 27.07.2007 00:03 </t>
  </si>
  <si>
    <t> 0.4901 </t>
  </si>
  <si>
    <t>C </t>
  </si>
  <si>
    <t>-I</t>
  </si>
  <si>
    <t> F.Agerer </t>
  </si>
  <si>
    <t>BAVM 193 </t>
  </si>
  <si>
    <t>2454776.4237 </t>
  </si>
  <si>
    <t> 05.11.2008 22:10 </t>
  </si>
  <si>
    <t>8230.5</t>
  </si>
  <si>
    <t> 0.5141 </t>
  </si>
  <si>
    <t>BAVM 203 </t>
  </si>
  <si>
    <t>2455514.4478 </t>
  </si>
  <si>
    <t> 13.11.2010 22:44 </t>
  </si>
  <si>
    <t>8460</t>
  </si>
  <si>
    <t> 0.5144 </t>
  </si>
  <si>
    <t>BAVM 215 </t>
  </si>
  <si>
    <t>2455858.5343 </t>
  </si>
  <si>
    <t> 24.10.2011 00:49 </t>
  </si>
  <si>
    <t>8567</t>
  </si>
  <si>
    <t> 0.5114 </t>
  </si>
  <si>
    <t>BAVM 225 </t>
  </si>
  <si>
    <t>I</t>
  </si>
  <si>
    <t>II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</si>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</sst>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6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Cas - O-C Diagr.</a:t>
            </a:r>
          </a:p>
        </c:rich>
      </c:tx>
      <c:layout>
        <c:manualLayout>
          <c:xMode val="edge"/>
          <c:yMode val="edge"/>
          <c:x val="0.3764139094891005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906854902912253"/>
          <c:w val="0.8303722220600752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3-4CE5-9F48-BB9897A813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1.3899999999999999E-2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0.49015000000508735</c:v>
                </c:pt>
                <c:pt idx="2">
                  <c:v>0.51410499999474268</c:v>
                </c:pt>
                <c:pt idx="4">
                  <c:v>0.51137000000016997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3-4CE5-9F48-BB9897A813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1.3899999999999999E-2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1.3899999999999999E-2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73-4CE5-9F48-BB9897A813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0.51440000000729924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73-4CE5-9F48-BB9897A813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73-4CE5-9F48-BB9897A813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73-4CE5-9F48-BB9897A813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73-4CE5-9F48-BB9897A813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3.9377001296991843E-4</c:v>
                </c:pt>
                <c:pt idx="1">
                  <c:v>0.49216355249132954</c:v>
                </c:pt>
                <c:pt idx="2">
                  <c:v>0.50101358382721095</c:v>
                </c:pt>
                <c:pt idx="3">
                  <c:v>0.51497291160442604</c:v>
                </c:pt>
                <c:pt idx="4">
                  <c:v>0.52148118207136285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73-4CE5-9F48-BB9897A8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742432"/>
        <c:axId val="1"/>
      </c:scatterChart>
      <c:valAx>
        <c:axId val="54074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74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1925596256989606"/>
          <c:w val="0.66074364290893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BN Cas - O-C Diagr.</a:t>
            </a:r>
          </a:p>
        </c:rich>
      </c:tx>
      <c:layout>
        <c:manualLayout>
          <c:xMode val="edge"/>
          <c:yMode val="edge"/>
          <c:x val="0.3764139094891005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9428229304629"/>
          <c:y val="0.14906854902912253"/>
          <c:w val="0.8303722220600752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0E-414E-9B8E-8E8532FC73A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Active!$D$22:$D$50</c:f>
                <c:numCache>
                  <c:formatCode>General</c:formatCode>
                  <c:ptCount val="29"/>
                  <c:pt idx="0">
                    <c:v>0</c:v>
                  </c:pt>
                  <c:pt idx="1">
                    <c:v>0</c:v>
                  </c:pt>
                  <c:pt idx="2">
                    <c:v>1.3899999999999999E-2</c:v>
                  </c:pt>
                  <c:pt idx="3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0.49015000000508735</c:v>
                </c:pt>
                <c:pt idx="2">
                  <c:v>0.51410499999474268</c:v>
                </c:pt>
                <c:pt idx="4">
                  <c:v>0.51137000000016997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0E-414E-9B8E-8E8532FC73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1.3899999999999999E-2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Active!$D$21:$D$50</c:f>
                <c:numCache>
                  <c:formatCode>General</c:formatCode>
                  <c:ptCount val="3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1.3899999999999999E-2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0E-414E-9B8E-8E8532FC73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0.51440000000729924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0E-414E-9B8E-8E8532FC73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0E-414E-9B8E-8E8532FC73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0E-414E-9B8E-8E8532FC73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0E-414E-9B8E-8E8532FC73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8085</c:v>
                </c:pt>
                <c:pt idx="2">
                  <c:v>8230.5</c:v>
                </c:pt>
                <c:pt idx="3">
                  <c:v>8460</c:v>
                </c:pt>
                <c:pt idx="4">
                  <c:v>8567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3.9377001296991843E-4</c:v>
                </c:pt>
                <c:pt idx="1">
                  <c:v>0.49216355249132954</c:v>
                </c:pt>
                <c:pt idx="2">
                  <c:v>0.50101358382721095</c:v>
                </c:pt>
                <c:pt idx="3">
                  <c:v>0.51497291160442604</c:v>
                </c:pt>
                <c:pt idx="4">
                  <c:v>0.52148118207136285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0E-414E-9B8E-8E8532FC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742432"/>
        <c:axId val="1"/>
      </c:scatterChart>
      <c:valAx>
        <c:axId val="540742432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742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40081581078618"/>
          <c:y val="0.91925596256989606"/>
          <c:w val="0.66074364290893373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6C2E487-65A4-A724-73B1-244821A0A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409575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C7095-5C88-46C5-A49B-6BB34F5A1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29</v>
      </c>
    </row>
    <row r="2" spans="1:6" x14ac:dyDescent="0.2">
      <c r="A2" t="s">
        <v>24</v>
      </c>
      <c r="B2" t="s">
        <v>28</v>
      </c>
    </row>
    <row r="4" spans="1:6" x14ac:dyDescent="0.2">
      <c r="A4" s="8" t="s">
        <v>0</v>
      </c>
      <c r="C4" s="3">
        <v>28308.35</v>
      </c>
      <c r="D4" s="4">
        <v>3.2157900000000001</v>
      </c>
    </row>
    <row r="5" spans="1:6" x14ac:dyDescent="0.2">
      <c r="A5" s="20" t="s">
        <v>32</v>
      </c>
      <c r="B5" s="21"/>
      <c r="C5" s="22">
        <v>-9.5</v>
      </c>
      <c r="D5" s="21" t="s">
        <v>33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28308.35</v>
      </c>
    </row>
    <row r="8" spans="1:6" x14ac:dyDescent="0.2">
      <c r="A8" t="s">
        <v>3</v>
      </c>
      <c r="C8">
        <f>+D4</f>
        <v>3.2157900000000001</v>
      </c>
    </row>
    <row r="9" spans="1:6" x14ac:dyDescent="0.2">
      <c r="A9" s="16" t="s">
        <v>31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ht="13.5" thickBot="1" x14ac:dyDescent="0.25">
      <c r="C10" s="7" t="s">
        <v>19</v>
      </c>
      <c r="D10" s="7" t="s">
        <v>20</v>
      </c>
    </row>
    <row r="11" spans="1:6" x14ac:dyDescent="0.2">
      <c r="A11" t="s">
        <v>16</v>
      </c>
      <c r="C11" s="23">
        <f ca="1">INTERCEPT(INDIRECT($D$9):G990,INDIRECT($C$9):F990)</f>
        <v>3.9377001296991843E-4</v>
      </c>
      <c r="D11" s="6"/>
    </row>
    <row r="12" spans="1:6" x14ac:dyDescent="0.2">
      <c r="A12" t="s">
        <v>17</v>
      </c>
      <c r="C12" s="23">
        <f ca="1">SLOPE(INDIRECT($D$9):G990,INDIRECT($C$9):F990)</f>
        <v>6.0824957634923887E-5</v>
      </c>
      <c r="D12" s="6"/>
    </row>
    <row r="13" spans="1:6" x14ac:dyDescent="0.2">
      <c r="C13" s="6"/>
      <c r="D13" s="6"/>
    </row>
    <row r="14" spans="1:6" x14ac:dyDescent="0.2">
      <c r="A14" t="s">
        <v>23</v>
      </c>
    </row>
    <row r="15" spans="1:6" x14ac:dyDescent="0.2">
      <c r="A15" s="5" t="s">
        <v>18</v>
      </c>
      <c r="C15" s="11">
        <f ca="1">(C7+C11)+(C8+C12)*INT(MAX(F21:F3533))</f>
        <v>55858.544411182069</v>
      </c>
      <c r="E15" s="24" t="s">
        <v>34</v>
      </c>
      <c r="F15" s="22">
        <v>1</v>
      </c>
    </row>
    <row r="16" spans="1:6" x14ac:dyDescent="0.2">
      <c r="A16" s="8" t="s">
        <v>4</v>
      </c>
      <c r="C16" s="12">
        <f ca="1">+C8+C12</f>
        <v>3.2158508249576352</v>
      </c>
      <c r="E16" s="24" t="s">
        <v>35</v>
      </c>
      <c r="F16" s="25">
        <f ca="1">NOW()+15018.5+$C$5/24</f>
        <v>60328.698217939811</v>
      </c>
    </row>
    <row r="17" spans="1:17" ht="13.5" thickBot="1" x14ac:dyDescent="0.25">
      <c r="A17" s="42" t="s">
        <v>74</v>
      </c>
      <c r="C17">
        <f>COUNT(C21:C2191)</f>
        <v>5</v>
      </c>
      <c r="E17" s="24" t="s">
        <v>36</v>
      </c>
      <c r="F17" s="25">
        <f ca="1">ROUND(2*(F16-$C$7)/$C$8,0)/2+F15</f>
        <v>9958</v>
      </c>
    </row>
    <row r="18" spans="1:17" x14ac:dyDescent="0.2">
      <c r="A18" s="8" t="s">
        <v>5</v>
      </c>
      <c r="C18" s="3">
        <f ca="1">+C15</f>
        <v>55858.544411182069</v>
      </c>
      <c r="D18" s="4">
        <f ca="1">+C16</f>
        <v>3.2158508249576352</v>
      </c>
      <c r="E18" s="24" t="s">
        <v>37</v>
      </c>
      <c r="F18" s="19">
        <f ca="1">ROUND(2*(F16-$C$15)/$C$16,0)/2+F15</f>
        <v>1391</v>
      </c>
    </row>
    <row r="19" spans="1:17" ht="13.5" thickTop="1" x14ac:dyDescent="0.2">
      <c r="C19">
        <f>COUNT(C21:C2680)</f>
        <v>5</v>
      </c>
      <c r="E19" s="24" t="s">
        <v>38</v>
      </c>
      <c r="F19" s="26">
        <f ca="1">+$C$15+$C$16*F18-15018.5-$C$5/24</f>
        <v>45313.688742031474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46</v>
      </c>
      <c r="I20" s="10" t="s">
        <v>49</v>
      </c>
      <c r="J20" s="10" t="s">
        <v>43</v>
      </c>
      <c r="K20" s="10" t="s">
        <v>41</v>
      </c>
      <c r="L20" s="10" t="s">
        <v>25</v>
      </c>
      <c r="M20" s="10" t="s">
        <v>26</v>
      </c>
      <c r="N20" s="10" t="s">
        <v>27</v>
      </c>
      <c r="O20" s="10" t="s">
        <v>22</v>
      </c>
      <c r="P20" s="9" t="s">
        <v>21</v>
      </c>
      <c r="Q20" s="7" t="s">
        <v>15</v>
      </c>
    </row>
    <row r="21" spans="1:17" x14ac:dyDescent="0.2">
      <c r="A21" t="s">
        <v>12</v>
      </c>
      <c r="C21" s="13">
        <v>28308.35</v>
      </c>
      <c r="D21" s="13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3.9377001296991843E-4</v>
      </c>
      <c r="Q21" s="2">
        <f>+C21-15018.5</f>
        <v>13289.849999999999</v>
      </c>
    </row>
    <row r="22" spans="1:17" x14ac:dyDescent="0.2">
      <c r="A22" s="41" t="s">
        <v>56</v>
      </c>
      <c r="B22" s="40" t="s">
        <v>72</v>
      </c>
      <c r="C22" s="41">
        <v>54308.5023</v>
      </c>
      <c r="D22" s="41" t="s">
        <v>49</v>
      </c>
      <c r="E22">
        <f>+(C22-C$7)/C$8</f>
        <v>8085.1524197786548</v>
      </c>
      <c r="F22">
        <f>ROUND(2*E22,0)/2</f>
        <v>8085</v>
      </c>
      <c r="G22">
        <f>+C22-(C$7+F22*C$8)</f>
        <v>0.49015000000508735</v>
      </c>
      <c r="I22">
        <f>+G22</f>
        <v>0.49015000000508735</v>
      </c>
      <c r="O22">
        <f ca="1">+C$11+C$12*F22</f>
        <v>0.49216355249132954</v>
      </c>
      <c r="Q22" s="2">
        <f>+C22-15018.5</f>
        <v>39290.0023</v>
      </c>
    </row>
    <row r="23" spans="1:17" x14ac:dyDescent="0.2">
      <c r="A23" s="41" t="s">
        <v>61</v>
      </c>
      <c r="B23" s="40" t="s">
        <v>73</v>
      </c>
      <c r="C23" s="41">
        <v>54776.423699999999</v>
      </c>
      <c r="D23" s="41" t="s">
        <v>49</v>
      </c>
      <c r="E23">
        <f>+(C23-C$7)/C$8</f>
        <v>8230.6598689591046</v>
      </c>
      <c r="F23">
        <f>ROUND(2*E23,0)/2</f>
        <v>8230.5</v>
      </c>
      <c r="G23">
        <f>+C23-(C$7+F23*C$8)</f>
        <v>0.51410499999474268</v>
      </c>
      <c r="I23">
        <f>+G23</f>
        <v>0.51410499999474268</v>
      </c>
      <c r="O23">
        <f ca="1">+C$11+C$12*F23</f>
        <v>0.50101358382721095</v>
      </c>
      <c r="Q23" s="2">
        <f>+C23-15018.5</f>
        <v>39757.923699999999</v>
      </c>
    </row>
    <row r="24" spans="1:17" x14ac:dyDescent="0.2">
      <c r="A24" s="14" t="s">
        <v>30</v>
      </c>
      <c r="B24" s="14"/>
      <c r="C24" s="15">
        <v>55514.447800000002</v>
      </c>
      <c r="D24" s="15">
        <v>1.3899999999999999E-2</v>
      </c>
      <c r="E24">
        <f>+(C24-C$7)/C$8</f>
        <v>8460.1599606939508</v>
      </c>
      <c r="F24">
        <f>ROUND(2*E24,0)/2</f>
        <v>8460</v>
      </c>
      <c r="G24">
        <f>+C24-(C$7+F24*C$8)</f>
        <v>0.51440000000729924</v>
      </c>
      <c r="K24">
        <f>+G24</f>
        <v>0.51440000000729924</v>
      </c>
      <c r="O24">
        <f ca="1">+C$11+C$12*F24</f>
        <v>0.51497291160442604</v>
      </c>
      <c r="Q24" s="2">
        <f>+C24-15018.5</f>
        <v>40495.947800000002</v>
      </c>
    </row>
    <row r="25" spans="1:17" x14ac:dyDescent="0.2">
      <c r="A25" s="41" t="s">
        <v>71</v>
      </c>
      <c r="B25" s="40" t="s">
        <v>72</v>
      </c>
      <c r="C25" s="41">
        <v>55858.534299999999</v>
      </c>
      <c r="D25" s="41" t="s">
        <v>49</v>
      </c>
      <c r="E25">
        <f>+(C25-C$7)/C$8</f>
        <v>8567.1590184682464</v>
      </c>
      <c r="F25">
        <f>ROUND(2*E25,0)/2</f>
        <v>8567</v>
      </c>
      <c r="G25">
        <f>+C25-(C$7+F25*C$8)</f>
        <v>0.51137000000016997</v>
      </c>
      <c r="I25">
        <f>+G25</f>
        <v>0.51137000000016997</v>
      </c>
      <c r="O25">
        <f ca="1">+C$11+C$12*F25</f>
        <v>0.52148118207136285</v>
      </c>
      <c r="Q25" s="2">
        <f>+C25-15018.5</f>
        <v>40840.034299999999</v>
      </c>
    </row>
    <row r="26" spans="1:17" x14ac:dyDescent="0.2">
      <c r="B26" s="6"/>
      <c r="D26" s="6"/>
      <c r="Q26" s="2"/>
    </row>
    <row r="27" spans="1:17" x14ac:dyDescent="0.2">
      <c r="D27" s="6"/>
      <c r="Q27" s="2"/>
    </row>
    <row r="28" spans="1:17" x14ac:dyDescent="0.2">
      <c r="D28" s="6"/>
      <c r="Q28" s="2"/>
    </row>
    <row r="29" spans="1:17" x14ac:dyDescent="0.2">
      <c r="D29" s="6"/>
      <c r="Q29" s="2"/>
    </row>
    <row r="30" spans="1:17" x14ac:dyDescent="0.2">
      <c r="D30" s="6"/>
      <c r="Q30" s="2"/>
    </row>
    <row r="31" spans="1:17" x14ac:dyDescent="0.2">
      <c r="D31" s="6"/>
      <c r="Q31" s="2"/>
    </row>
    <row r="32" spans="1:17" x14ac:dyDescent="0.2">
      <c r="D32" s="6"/>
      <c r="Q32" s="2"/>
    </row>
    <row r="33" spans="4:17" x14ac:dyDescent="0.2">
      <c r="D33" s="6"/>
      <c r="Q33" s="2"/>
    </row>
    <row r="34" spans="4:17" x14ac:dyDescent="0.2">
      <c r="D34" s="6"/>
    </row>
    <row r="35" spans="4:17" x14ac:dyDescent="0.2">
      <c r="D35" s="6"/>
    </row>
    <row r="36" spans="4:17" x14ac:dyDescent="0.2">
      <c r="D36" s="6"/>
    </row>
    <row r="37" spans="4:17" x14ac:dyDescent="0.2">
      <c r="D37" s="6"/>
    </row>
    <row r="38" spans="4:17" x14ac:dyDescent="0.2">
      <c r="D38" s="6"/>
    </row>
    <row r="39" spans="4:17" x14ac:dyDescent="0.2">
      <c r="D39" s="6"/>
    </row>
    <row r="40" spans="4:17" x14ac:dyDescent="0.2">
      <c r="D40" s="6"/>
    </row>
    <row r="41" spans="4:17" x14ac:dyDescent="0.2">
      <c r="D41" s="6"/>
    </row>
    <row r="42" spans="4:17" x14ac:dyDescent="0.2">
      <c r="D42" s="6"/>
    </row>
    <row r="43" spans="4:17" x14ac:dyDescent="0.2">
      <c r="D43" s="6"/>
    </row>
    <row r="44" spans="4:17" x14ac:dyDescent="0.2">
      <c r="D44" s="6"/>
    </row>
    <row r="45" spans="4:17" x14ac:dyDescent="0.2">
      <c r="D45" s="6"/>
    </row>
    <row r="46" spans="4:17" x14ac:dyDescent="0.2">
      <c r="D46" s="6"/>
    </row>
    <row r="47" spans="4:17" x14ac:dyDescent="0.2">
      <c r="D47" s="6"/>
    </row>
    <row r="48" spans="4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4"/>
  <sheetViews>
    <sheetView workbookViewId="0">
      <selection activeCell="A12" sqref="A12:D14"/>
    </sheetView>
  </sheetViews>
  <sheetFormatPr defaultRowHeight="12.75" x14ac:dyDescent="0.2"/>
  <cols>
    <col min="1" max="1" width="19.7109375" style="13" customWidth="1"/>
    <col min="2" max="2" width="4.42578125" style="21" customWidth="1"/>
    <col min="3" max="3" width="12.7109375" style="13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3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 x14ac:dyDescent="0.25">
      <c r="A1" s="27" t="s">
        <v>39</v>
      </c>
      <c r="I1" s="28" t="s">
        <v>40</v>
      </c>
      <c r="J1" s="29" t="s">
        <v>41</v>
      </c>
    </row>
    <row r="2" spans="1:16" x14ac:dyDescent="0.2">
      <c r="I2" s="30" t="s">
        <v>42</v>
      </c>
      <c r="J2" s="31" t="s">
        <v>43</v>
      </c>
    </row>
    <row r="3" spans="1:16" x14ac:dyDescent="0.2">
      <c r="A3" s="32" t="s">
        <v>44</v>
      </c>
      <c r="I3" s="30" t="s">
        <v>45</v>
      </c>
      <c r="J3" s="31" t="s">
        <v>46</v>
      </c>
    </row>
    <row r="4" spans="1:16" x14ac:dyDescent="0.2">
      <c r="I4" s="30" t="s">
        <v>47</v>
      </c>
      <c r="J4" s="31" t="s">
        <v>46</v>
      </c>
    </row>
    <row r="5" spans="1:16" ht="13.5" thickBot="1" x14ac:dyDescent="0.25">
      <c r="I5" s="33" t="s">
        <v>48</v>
      </c>
      <c r="J5" s="34" t="s">
        <v>49</v>
      </c>
    </row>
    <row r="10" spans="1:16" ht="13.5" thickBot="1" x14ac:dyDescent="0.25"/>
    <row r="11" spans="1:16" ht="12.75" customHeight="1" thickBot="1" x14ac:dyDescent="0.25">
      <c r="A11" s="13" t="str">
        <f>P11</f>
        <v>BAVM 215 </v>
      </c>
      <c r="B11" s="6" t="str">
        <f>IF(H11=INT(H11),"I","II")</f>
        <v>I</v>
      </c>
      <c r="C11" s="13">
        <f>1*G11</f>
        <v>55514.447800000002</v>
      </c>
      <c r="D11" s="21" t="str">
        <f>VLOOKUP(F11,I$1:J$5,2,FALSE)</f>
        <v>vis</v>
      </c>
      <c r="E11" s="35">
        <f>VLOOKUP(C11,Active!C$21:E$973,3,FALSE)</f>
        <v>8460.1599606939508</v>
      </c>
      <c r="F11" s="6" t="s">
        <v>48</v>
      </c>
      <c r="G11" s="21" t="str">
        <f>MID(I11,3,LEN(I11)-3)</f>
        <v>55514.4478</v>
      </c>
      <c r="H11" s="13">
        <f>1*K11</f>
        <v>8460</v>
      </c>
      <c r="I11" s="36" t="s">
        <v>62</v>
      </c>
      <c r="J11" s="37" t="s">
        <v>63</v>
      </c>
      <c r="K11" s="36" t="s">
        <v>64</v>
      </c>
      <c r="L11" s="36" t="s">
        <v>65</v>
      </c>
      <c r="M11" s="37" t="s">
        <v>53</v>
      </c>
      <c r="N11" s="37" t="s">
        <v>54</v>
      </c>
      <c r="O11" s="38" t="s">
        <v>55</v>
      </c>
      <c r="P11" s="39" t="s">
        <v>66</v>
      </c>
    </row>
    <row r="12" spans="1:16" ht="12.75" customHeight="1" thickBot="1" x14ac:dyDescent="0.25">
      <c r="A12" s="13" t="str">
        <f>P12</f>
        <v>BAVM 193 </v>
      </c>
      <c r="B12" s="6" t="str">
        <f>IF(H12=INT(H12),"I","II")</f>
        <v>I</v>
      </c>
      <c r="C12" s="13">
        <f>1*G12</f>
        <v>54308.5023</v>
      </c>
      <c r="D12" s="21" t="str">
        <f>VLOOKUP(F12,I$1:J$5,2,FALSE)</f>
        <v>vis</v>
      </c>
      <c r="E12" s="35">
        <f>VLOOKUP(C12,Active!C$21:E$973,3,FALSE)</f>
        <v>8085.1524197786548</v>
      </c>
      <c r="F12" s="6" t="s">
        <v>48</v>
      </c>
      <c r="G12" s="21" t="str">
        <f>MID(I12,3,LEN(I12)-3)</f>
        <v>54308.5023</v>
      </c>
      <c r="H12" s="13">
        <f>1*K12</f>
        <v>8085</v>
      </c>
      <c r="I12" s="36" t="s">
        <v>50</v>
      </c>
      <c r="J12" s="37" t="s">
        <v>51</v>
      </c>
      <c r="K12" s="36">
        <v>8085</v>
      </c>
      <c r="L12" s="36" t="s">
        <v>52</v>
      </c>
      <c r="M12" s="37" t="s">
        <v>53</v>
      </c>
      <c r="N12" s="37" t="s">
        <v>54</v>
      </c>
      <c r="O12" s="38" t="s">
        <v>55</v>
      </c>
      <c r="P12" s="39" t="s">
        <v>56</v>
      </c>
    </row>
    <row r="13" spans="1:16" ht="12.75" customHeight="1" thickBot="1" x14ac:dyDescent="0.25">
      <c r="A13" s="13" t="str">
        <f>P13</f>
        <v>BAVM 203 </v>
      </c>
      <c r="B13" s="6" t="str">
        <f>IF(H13=INT(H13),"I","II")</f>
        <v>II</v>
      </c>
      <c r="C13" s="13">
        <f>1*G13</f>
        <v>54776.423699999999</v>
      </c>
      <c r="D13" s="21" t="str">
        <f>VLOOKUP(F13,I$1:J$5,2,FALSE)</f>
        <v>vis</v>
      </c>
      <c r="E13" s="35">
        <f>VLOOKUP(C13,Active!C$21:E$973,3,FALSE)</f>
        <v>8230.6598689591046</v>
      </c>
      <c r="F13" s="6" t="s">
        <v>48</v>
      </c>
      <c r="G13" s="21" t="str">
        <f>MID(I13,3,LEN(I13)-3)</f>
        <v>54776.4237</v>
      </c>
      <c r="H13" s="13">
        <f>1*K13</f>
        <v>8230.5</v>
      </c>
      <c r="I13" s="36" t="s">
        <v>57</v>
      </c>
      <c r="J13" s="37" t="s">
        <v>58</v>
      </c>
      <c r="K13" s="36" t="s">
        <v>59</v>
      </c>
      <c r="L13" s="36" t="s">
        <v>60</v>
      </c>
      <c r="M13" s="37" t="s">
        <v>53</v>
      </c>
      <c r="N13" s="37" t="s">
        <v>54</v>
      </c>
      <c r="O13" s="38" t="s">
        <v>55</v>
      </c>
      <c r="P13" s="39" t="s">
        <v>61</v>
      </c>
    </row>
    <row r="14" spans="1:16" ht="12.75" customHeight="1" thickBot="1" x14ac:dyDescent="0.25">
      <c r="A14" s="13" t="str">
        <f>P14</f>
        <v>BAVM 225 </v>
      </c>
      <c r="B14" s="6" t="str">
        <f>IF(H14=INT(H14),"I","II")</f>
        <v>I</v>
      </c>
      <c r="C14" s="13">
        <f>1*G14</f>
        <v>55858.534299999999</v>
      </c>
      <c r="D14" s="21" t="str">
        <f>VLOOKUP(F14,I$1:J$5,2,FALSE)</f>
        <v>vis</v>
      </c>
      <c r="E14" s="35">
        <f>VLOOKUP(C14,Active!C$21:E$973,3,FALSE)</f>
        <v>8567.1590184682464</v>
      </c>
      <c r="F14" s="6" t="s">
        <v>48</v>
      </c>
      <c r="G14" s="21" t="str">
        <f>MID(I14,3,LEN(I14)-3)</f>
        <v>55858.5343</v>
      </c>
      <c r="H14" s="13">
        <f>1*K14</f>
        <v>8567</v>
      </c>
      <c r="I14" s="36" t="s">
        <v>67</v>
      </c>
      <c r="J14" s="37" t="s">
        <v>68</v>
      </c>
      <c r="K14" s="36" t="s">
        <v>69</v>
      </c>
      <c r="L14" s="36" t="s">
        <v>70</v>
      </c>
      <c r="M14" s="37" t="s">
        <v>53</v>
      </c>
      <c r="N14" s="37" t="s">
        <v>54</v>
      </c>
      <c r="O14" s="38" t="s">
        <v>55</v>
      </c>
      <c r="P14" s="39" t="s">
        <v>71</v>
      </c>
    </row>
    <row r="15" spans="1:16" x14ac:dyDescent="0.2">
      <c r="B15" s="6"/>
      <c r="F15" s="6"/>
    </row>
    <row r="16" spans="1:16" x14ac:dyDescent="0.2">
      <c r="B16" s="6"/>
      <c r="F16" s="6"/>
    </row>
    <row r="17" spans="2:6" x14ac:dyDescent="0.2">
      <c r="B17" s="6"/>
      <c r="F17" s="6"/>
    </row>
    <row r="18" spans="2:6" x14ac:dyDescent="0.2">
      <c r="B18" s="6"/>
      <c r="F18" s="6"/>
    </row>
    <row r="19" spans="2:6" x14ac:dyDescent="0.2">
      <c r="B19" s="6"/>
      <c r="F19" s="6"/>
    </row>
    <row r="20" spans="2:6" x14ac:dyDescent="0.2">
      <c r="B20" s="6"/>
      <c r="F20" s="6"/>
    </row>
    <row r="21" spans="2:6" x14ac:dyDescent="0.2">
      <c r="B21" s="6"/>
      <c r="F21" s="6"/>
    </row>
    <row r="22" spans="2:6" x14ac:dyDescent="0.2">
      <c r="B22" s="6"/>
      <c r="F22" s="6"/>
    </row>
    <row r="23" spans="2:6" x14ac:dyDescent="0.2">
      <c r="B23" s="6"/>
      <c r="F23" s="6"/>
    </row>
    <row r="24" spans="2:6" x14ac:dyDescent="0.2">
      <c r="B24" s="6"/>
      <c r="F24" s="6"/>
    </row>
    <row r="25" spans="2:6" x14ac:dyDescent="0.2">
      <c r="B25" s="6"/>
      <c r="F25" s="6"/>
    </row>
    <row r="26" spans="2:6" x14ac:dyDescent="0.2">
      <c r="B26" s="6"/>
      <c r="F26" s="6"/>
    </row>
    <row r="27" spans="2:6" x14ac:dyDescent="0.2">
      <c r="B27" s="6"/>
      <c r="F27" s="6"/>
    </row>
    <row r="28" spans="2:6" x14ac:dyDescent="0.2">
      <c r="B28" s="6"/>
      <c r="F28" s="6"/>
    </row>
    <row r="29" spans="2:6" x14ac:dyDescent="0.2">
      <c r="B29" s="6"/>
      <c r="F29" s="6"/>
    </row>
    <row r="30" spans="2:6" x14ac:dyDescent="0.2">
      <c r="B30" s="6"/>
      <c r="F30" s="6"/>
    </row>
    <row r="31" spans="2:6" x14ac:dyDescent="0.2">
      <c r="B31" s="6"/>
      <c r="F31" s="6"/>
    </row>
    <row r="32" spans="2: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</sheetData>
  <phoneticPr fontId="0" type="noConversion"/>
  <hyperlinks>
    <hyperlink ref="A3" r:id="rId1"/>
    <hyperlink ref="P12" r:id="rId2" display="http://www.bav-astro.de/sfs/BAVM_link.php?BAVMnr=193"/>
    <hyperlink ref="P13" r:id="rId3" display="http://www.bav-astro.de/sfs/BAVM_link.php?BAVMnr=203"/>
    <hyperlink ref="P11" r:id="rId4" display="http://www.bav-astro.de/sfs/BAVM_link.php?BAVMnr=215"/>
    <hyperlink ref="P14" r:id="rId5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2024-01-19T03:45:26Z</dcterms:modified>
</cp:coreProperties>
</file>