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3FC5498-335A-4A6A-8D39-A57E190847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2" r:id="rId2"/>
    <sheet name="BAV" sheetId="4" r:id="rId3"/>
  </sheets>
  <calcPr calcId="181029"/>
</workbook>
</file>

<file path=xl/calcChain.xml><?xml version="1.0" encoding="utf-8"?>
<calcChain xmlns="http://schemas.openxmlformats.org/spreadsheetml/2006/main">
  <c r="E98" i="3" l="1"/>
  <c r="F98" i="3"/>
  <c r="G98" i="3"/>
  <c r="K98" i="3"/>
  <c r="Q98" i="3"/>
  <c r="E99" i="3"/>
  <c r="F99" i="3"/>
  <c r="G99" i="3"/>
  <c r="K99" i="3"/>
  <c r="Q99" i="3"/>
  <c r="Q97" i="3"/>
  <c r="D9" i="3"/>
  <c r="C9" i="3"/>
  <c r="Q96" i="3"/>
  <c r="E85" i="3"/>
  <c r="F85" i="3"/>
  <c r="E87" i="3"/>
  <c r="F87" i="3"/>
  <c r="E89" i="3"/>
  <c r="F89" i="3"/>
  <c r="U89" i="3"/>
  <c r="E94" i="3"/>
  <c r="F94" i="3"/>
  <c r="E95" i="3"/>
  <c r="F95" i="3"/>
  <c r="E77" i="3"/>
  <c r="F77" i="3"/>
  <c r="G77" i="3"/>
  <c r="J77" i="3"/>
  <c r="E82" i="3"/>
  <c r="F82" i="3"/>
  <c r="E83" i="3"/>
  <c r="F83" i="3"/>
  <c r="Q91" i="3"/>
  <c r="Q88" i="3"/>
  <c r="Q89" i="3"/>
  <c r="Q86" i="3"/>
  <c r="Q90" i="3"/>
  <c r="Q92" i="3"/>
  <c r="Q93" i="3"/>
  <c r="Q94" i="3"/>
  <c r="Q95" i="3"/>
  <c r="E65" i="3"/>
  <c r="F65" i="3"/>
  <c r="C7" i="3"/>
  <c r="E96" i="3"/>
  <c r="F96" i="3"/>
  <c r="E23" i="3"/>
  <c r="F23" i="3"/>
  <c r="E24" i="3"/>
  <c r="F24" i="3"/>
  <c r="G24" i="3"/>
  <c r="E25" i="3"/>
  <c r="F25" i="3"/>
  <c r="G25" i="3"/>
  <c r="H25" i="3"/>
  <c r="E28" i="3"/>
  <c r="F28" i="3"/>
  <c r="E29" i="3"/>
  <c r="F29" i="3"/>
  <c r="E30" i="3"/>
  <c r="E36" i="4"/>
  <c r="E31" i="3"/>
  <c r="F31" i="3"/>
  <c r="G31" i="3"/>
  <c r="H31" i="3"/>
  <c r="E32" i="3"/>
  <c r="F32" i="3"/>
  <c r="G32" i="3"/>
  <c r="E33" i="3"/>
  <c r="F33" i="3"/>
  <c r="G33" i="3"/>
  <c r="H33" i="3"/>
  <c r="E34" i="3"/>
  <c r="F34" i="3"/>
  <c r="G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E39" i="3"/>
  <c r="F39" i="3"/>
  <c r="G39" i="3"/>
  <c r="E40" i="3"/>
  <c r="F40" i="3"/>
  <c r="G40" i="3"/>
  <c r="H40" i="3"/>
  <c r="E41" i="3"/>
  <c r="F41" i="3"/>
  <c r="G41" i="3"/>
  <c r="H41" i="3"/>
  <c r="E42" i="3"/>
  <c r="F42" i="3"/>
  <c r="G42" i="3"/>
  <c r="E43" i="3"/>
  <c r="F43" i="3"/>
  <c r="G43" i="3"/>
  <c r="H43" i="3"/>
  <c r="E44" i="3"/>
  <c r="F44" i="3"/>
  <c r="G44" i="3"/>
  <c r="H44" i="3"/>
  <c r="E45" i="3"/>
  <c r="F45" i="3"/>
  <c r="G45" i="3"/>
  <c r="H45" i="3"/>
  <c r="E46" i="3"/>
  <c r="E47" i="3"/>
  <c r="F47" i="3"/>
  <c r="G47" i="3"/>
  <c r="E48" i="3"/>
  <c r="F48" i="3"/>
  <c r="G48" i="3"/>
  <c r="H48" i="3"/>
  <c r="E49" i="3"/>
  <c r="F49" i="3"/>
  <c r="G49" i="3"/>
  <c r="H49" i="3"/>
  <c r="E50" i="3"/>
  <c r="F50" i="3"/>
  <c r="G50" i="3"/>
  <c r="E51" i="3"/>
  <c r="F51" i="3"/>
  <c r="G51" i="3"/>
  <c r="H51" i="3"/>
  <c r="E52" i="3"/>
  <c r="F52" i="3"/>
  <c r="G52" i="3"/>
  <c r="H52" i="3"/>
  <c r="E53" i="3"/>
  <c r="F53" i="3"/>
  <c r="G53" i="3"/>
  <c r="I53" i="3"/>
  <c r="E54" i="3"/>
  <c r="E55" i="3"/>
  <c r="F55" i="3"/>
  <c r="G55" i="3"/>
  <c r="E56" i="3"/>
  <c r="F56" i="3"/>
  <c r="G56" i="3"/>
  <c r="I56" i="3"/>
  <c r="E57" i="3"/>
  <c r="F57" i="3"/>
  <c r="G57" i="3"/>
  <c r="I57" i="3"/>
  <c r="E58" i="3"/>
  <c r="F58" i="3"/>
  <c r="G58" i="3"/>
  <c r="E59" i="3"/>
  <c r="F59" i="3"/>
  <c r="G59" i="3"/>
  <c r="J59" i="3"/>
  <c r="E64" i="3"/>
  <c r="F64" i="3"/>
  <c r="G64" i="3"/>
  <c r="K64" i="3"/>
  <c r="E70" i="3"/>
  <c r="F70" i="3"/>
  <c r="G70" i="3"/>
  <c r="K70" i="3"/>
  <c r="E71" i="3"/>
  <c r="F71" i="3"/>
  <c r="G71" i="3"/>
  <c r="K71" i="3"/>
  <c r="E72" i="3"/>
  <c r="F72" i="3"/>
  <c r="G72" i="3"/>
  <c r="K72" i="3"/>
  <c r="E73" i="3"/>
  <c r="F73" i="3"/>
  <c r="G73" i="3"/>
  <c r="E74" i="3"/>
  <c r="F74" i="3"/>
  <c r="G74" i="3"/>
  <c r="K74" i="3"/>
  <c r="E60" i="3"/>
  <c r="F60" i="3"/>
  <c r="G60" i="3"/>
  <c r="E61" i="3"/>
  <c r="F61" i="3"/>
  <c r="G61" i="3"/>
  <c r="E62" i="3"/>
  <c r="F62" i="3"/>
  <c r="G62" i="3"/>
  <c r="E63" i="3"/>
  <c r="F63" i="3"/>
  <c r="G63" i="3"/>
  <c r="E66" i="3"/>
  <c r="F66" i="3"/>
  <c r="G66" i="3"/>
  <c r="J66" i="3"/>
  <c r="E67" i="3"/>
  <c r="F67" i="3"/>
  <c r="G67" i="3"/>
  <c r="E68" i="3"/>
  <c r="F68" i="3"/>
  <c r="G68" i="3"/>
  <c r="J68" i="3"/>
  <c r="E75" i="3"/>
  <c r="F75" i="3"/>
  <c r="G75" i="3"/>
  <c r="E21" i="3"/>
  <c r="F21" i="3"/>
  <c r="Q22" i="3"/>
  <c r="Q23" i="3"/>
  <c r="H24" i="3"/>
  <c r="Q24" i="3"/>
  <c r="Q25" i="3"/>
  <c r="Q26" i="3"/>
  <c r="Q27" i="3"/>
  <c r="Q28" i="3"/>
  <c r="Q29" i="3"/>
  <c r="Q30" i="3"/>
  <c r="Q31" i="3"/>
  <c r="H32" i="3"/>
  <c r="Q32" i="3"/>
  <c r="Q33" i="3"/>
  <c r="H34" i="3"/>
  <c r="Q34" i="3"/>
  <c r="Q35" i="3"/>
  <c r="Q36" i="3"/>
  <c r="Q37" i="3"/>
  <c r="Q38" i="3"/>
  <c r="H39" i="3"/>
  <c r="Q39" i="3"/>
  <c r="Q40" i="3"/>
  <c r="Q41" i="3"/>
  <c r="H42" i="3"/>
  <c r="Q42" i="3"/>
  <c r="Q43" i="3"/>
  <c r="Q44" i="3"/>
  <c r="Q45" i="3"/>
  <c r="Q46" i="3"/>
  <c r="H47" i="3"/>
  <c r="Q47" i="3"/>
  <c r="Q48" i="3"/>
  <c r="Q49" i="3"/>
  <c r="H50" i="3"/>
  <c r="Q50" i="3"/>
  <c r="Q51" i="3"/>
  <c r="Q52" i="3"/>
  <c r="Q53" i="3"/>
  <c r="Q54" i="3"/>
  <c r="I55" i="3"/>
  <c r="Q55" i="3"/>
  <c r="Q56" i="3"/>
  <c r="Q57" i="3"/>
  <c r="I58" i="3"/>
  <c r="Q58" i="3"/>
  <c r="Q59" i="3"/>
  <c r="Q64" i="3"/>
  <c r="Q70" i="3"/>
  <c r="Q71" i="3"/>
  <c r="Q72" i="3"/>
  <c r="K73" i="3"/>
  <c r="Q73" i="3"/>
  <c r="Q74" i="3"/>
  <c r="Q80" i="3"/>
  <c r="Q81" i="3"/>
  <c r="G27" i="4"/>
  <c r="C27" i="4"/>
  <c r="E27" i="4"/>
  <c r="G26" i="4"/>
  <c r="C26" i="4"/>
  <c r="G25" i="4"/>
  <c r="C25" i="4"/>
  <c r="E25" i="4"/>
  <c r="G24" i="4"/>
  <c r="C24" i="4"/>
  <c r="E24" i="4"/>
  <c r="G74" i="4"/>
  <c r="C74" i="4"/>
  <c r="G73" i="4"/>
  <c r="C73" i="4"/>
  <c r="G23" i="4"/>
  <c r="C23" i="4"/>
  <c r="G22" i="4"/>
  <c r="C22" i="4"/>
  <c r="G21" i="4"/>
  <c r="C21" i="4"/>
  <c r="E21" i="4"/>
  <c r="G20" i="4"/>
  <c r="C20" i="4"/>
  <c r="G72" i="4"/>
  <c r="C72" i="4"/>
  <c r="E72" i="4"/>
  <c r="G71" i="4"/>
  <c r="C71" i="4"/>
  <c r="E71" i="4"/>
  <c r="G70" i="4"/>
  <c r="C70" i="4"/>
  <c r="E70" i="4"/>
  <c r="G69" i="4"/>
  <c r="C69" i="4"/>
  <c r="G68" i="4"/>
  <c r="C68" i="4"/>
  <c r="E68" i="4"/>
  <c r="G67" i="4"/>
  <c r="C67" i="4"/>
  <c r="E67" i="4"/>
  <c r="G19" i="4"/>
  <c r="C19" i="4"/>
  <c r="G18" i="4"/>
  <c r="C18" i="4"/>
  <c r="E18" i="4"/>
  <c r="G17" i="4"/>
  <c r="C17" i="4"/>
  <c r="E17" i="4"/>
  <c r="G16" i="4"/>
  <c r="C16" i="4"/>
  <c r="E16" i="4"/>
  <c r="G15" i="4"/>
  <c r="C15" i="4"/>
  <c r="E15" i="4"/>
  <c r="G66" i="4"/>
  <c r="C66" i="4"/>
  <c r="E66" i="4"/>
  <c r="G14" i="4"/>
  <c r="C14" i="4"/>
  <c r="E14" i="4"/>
  <c r="G13" i="4"/>
  <c r="C13" i="4"/>
  <c r="E13" i="4"/>
  <c r="G12" i="4"/>
  <c r="C12" i="4"/>
  <c r="E12" i="4"/>
  <c r="G11" i="4"/>
  <c r="C11" i="4"/>
  <c r="E11" i="4"/>
  <c r="G65" i="4"/>
  <c r="C65" i="4"/>
  <c r="E65" i="4"/>
  <c r="G64" i="4"/>
  <c r="C64" i="4"/>
  <c r="E64" i="4"/>
  <c r="G63" i="4"/>
  <c r="C63" i="4"/>
  <c r="E63" i="4"/>
  <c r="G62" i="4"/>
  <c r="C62" i="4"/>
  <c r="E62" i="4"/>
  <c r="G61" i="4"/>
  <c r="C61" i="4"/>
  <c r="E61" i="4"/>
  <c r="G60" i="4"/>
  <c r="C60" i="4"/>
  <c r="G59" i="4"/>
  <c r="C59" i="4"/>
  <c r="E59" i="4"/>
  <c r="G58" i="4"/>
  <c r="C58" i="4"/>
  <c r="E58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E53" i="4"/>
  <c r="G52" i="4"/>
  <c r="C52" i="4"/>
  <c r="G51" i="4"/>
  <c r="C51" i="4"/>
  <c r="E51" i="4"/>
  <c r="G50" i="4"/>
  <c r="C50" i="4"/>
  <c r="E50" i="4"/>
  <c r="G49" i="4"/>
  <c r="C49" i="4"/>
  <c r="E49" i="4"/>
  <c r="G48" i="4"/>
  <c r="C48" i="4"/>
  <c r="E48" i="4"/>
  <c r="G47" i="4"/>
  <c r="C47" i="4"/>
  <c r="E47" i="4"/>
  <c r="G46" i="4"/>
  <c r="C46" i="4"/>
  <c r="E46" i="4"/>
  <c r="G45" i="4"/>
  <c r="C45" i="4"/>
  <c r="E45" i="4"/>
  <c r="G44" i="4"/>
  <c r="C44" i="4"/>
  <c r="G43" i="4"/>
  <c r="C43" i="4"/>
  <c r="E43" i="4"/>
  <c r="G42" i="4"/>
  <c r="C42" i="4"/>
  <c r="E42" i="4"/>
  <c r="G41" i="4"/>
  <c r="C41" i="4"/>
  <c r="E41" i="4"/>
  <c r="G40" i="4"/>
  <c r="C40" i="4"/>
  <c r="E40" i="4"/>
  <c r="G39" i="4"/>
  <c r="C39" i="4"/>
  <c r="E39" i="4"/>
  <c r="G38" i="4"/>
  <c r="C38" i="4"/>
  <c r="E38" i="4"/>
  <c r="G37" i="4"/>
  <c r="C37" i="4"/>
  <c r="E37" i="4"/>
  <c r="G36" i="4"/>
  <c r="C36" i="4"/>
  <c r="G35" i="4"/>
  <c r="C35" i="4"/>
  <c r="E35" i="4"/>
  <c r="G34" i="4"/>
  <c r="C34" i="4"/>
  <c r="E34" i="4"/>
  <c r="G33" i="4"/>
  <c r="C33" i="4"/>
  <c r="G32" i="4"/>
  <c r="C32" i="4"/>
  <c r="G31" i="4"/>
  <c r="C31" i="4"/>
  <c r="E31" i="4"/>
  <c r="G30" i="4"/>
  <c r="C30" i="4"/>
  <c r="E30" i="4"/>
  <c r="G29" i="4"/>
  <c r="C29" i="4"/>
  <c r="E29" i="4"/>
  <c r="G28" i="4"/>
  <c r="C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74" i="4"/>
  <c r="D74" i="4"/>
  <c r="B74" i="4"/>
  <c r="A74" i="4"/>
  <c r="H73" i="4"/>
  <c r="B73" i="4"/>
  <c r="D73" i="4"/>
  <c r="A73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72" i="4"/>
  <c r="D72" i="4"/>
  <c r="B72" i="4"/>
  <c r="A72" i="4"/>
  <c r="H71" i="4"/>
  <c r="B71" i="4"/>
  <c r="D71" i="4"/>
  <c r="A71" i="4"/>
  <c r="H70" i="4"/>
  <c r="D70" i="4"/>
  <c r="B70" i="4"/>
  <c r="A70" i="4"/>
  <c r="H69" i="4"/>
  <c r="B69" i="4"/>
  <c r="D69" i="4"/>
  <c r="A69" i="4"/>
  <c r="H68" i="4"/>
  <c r="D68" i="4"/>
  <c r="B68" i="4"/>
  <c r="A68" i="4"/>
  <c r="H67" i="4"/>
  <c r="B67" i="4"/>
  <c r="D67" i="4"/>
  <c r="A67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66" i="4"/>
  <c r="B66" i="4"/>
  <c r="D66" i="4"/>
  <c r="A66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H65" i="4"/>
  <c r="D65" i="4"/>
  <c r="B65" i="4"/>
  <c r="A65" i="4"/>
  <c r="H64" i="4"/>
  <c r="B64" i="4"/>
  <c r="D64" i="4"/>
  <c r="A64" i="4"/>
  <c r="H63" i="4"/>
  <c r="D63" i="4"/>
  <c r="B63" i="4"/>
  <c r="A63" i="4"/>
  <c r="H62" i="4"/>
  <c r="B62" i="4"/>
  <c r="D62" i="4"/>
  <c r="A62" i="4"/>
  <c r="H61" i="4"/>
  <c r="D61" i="4"/>
  <c r="B61" i="4"/>
  <c r="A61" i="4"/>
  <c r="H60" i="4"/>
  <c r="B60" i="4"/>
  <c r="D60" i="4"/>
  <c r="A60" i="4"/>
  <c r="H59" i="4"/>
  <c r="D59" i="4"/>
  <c r="B59" i="4"/>
  <c r="A59" i="4"/>
  <c r="H58" i="4"/>
  <c r="B58" i="4"/>
  <c r="D58" i="4"/>
  <c r="A58" i="4"/>
  <c r="H57" i="4"/>
  <c r="D57" i="4"/>
  <c r="B57" i="4"/>
  <c r="A57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52" i="4"/>
  <c r="B52" i="4"/>
  <c r="D52" i="4"/>
  <c r="A52" i="4"/>
  <c r="H51" i="4"/>
  <c r="D51" i="4"/>
  <c r="B51" i="4"/>
  <c r="A51" i="4"/>
  <c r="H50" i="4"/>
  <c r="B50" i="4"/>
  <c r="D50" i="4"/>
  <c r="A50" i="4"/>
  <c r="H49" i="4"/>
  <c r="D49" i="4"/>
  <c r="B49" i="4"/>
  <c r="A49" i="4"/>
  <c r="H48" i="4"/>
  <c r="B48" i="4"/>
  <c r="D48" i="4"/>
  <c r="A48" i="4"/>
  <c r="H47" i="4"/>
  <c r="D47" i="4"/>
  <c r="B47" i="4"/>
  <c r="A47" i="4"/>
  <c r="H46" i="4"/>
  <c r="B46" i="4"/>
  <c r="D46" i="4"/>
  <c r="A46" i="4"/>
  <c r="H45" i="4"/>
  <c r="D45" i="4"/>
  <c r="B45" i="4"/>
  <c r="A45" i="4"/>
  <c r="H44" i="4"/>
  <c r="B44" i="4"/>
  <c r="D44" i="4"/>
  <c r="A44" i="4"/>
  <c r="H43" i="4"/>
  <c r="D43" i="4"/>
  <c r="B43" i="4"/>
  <c r="A43" i="4"/>
  <c r="H42" i="4"/>
  <c r="B42" i="4"/>
  <c r="D42" i="4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D35" i="4"/>
  <c r="B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Q85" i="3"/>
  <c r="Q87" i="3"/>
  <c r="Q77" i="3"/>
  <c r="Q84" i="3"/>
  <c r="Q79" i="3"/>
  <c r="Q82" i="3"/>
  <c r="Q83" i="3"/>
  <c r="Q78" i="3"/>
  <c r="K75" i="3"/>
  <c r="Q75" i="3"/>
  <c r="Q29" i="2"/>
  <c r="E29" i="2"/>
  <c r="F29" i="2"/>
  <c r="Q76" i="3"/>
  <c r="F16" i="3"/>
  <c r="C17" i="3"/>
  <c r="Q28" i="2"/>
  <c r="E28" i="2"/>
  <c r="F28" i="2"/>
  <c r="E23" i="2"/>
  <c r="F23" i="2"/>
  <c r="E25" i="2"/>
  <c r="F25" i="2"/>
  <c r="G25" i="2"/>
  <c r="I25" i="2"/>
  <c r="Q69" i="3"/>
  <c r="Q68" i="3"/>
  <c r="J67" i="3"/>
  <c r="Q67" i="3"/>
  <c r="Q21" i="3"/>
  <c r="Q65" i="3"/>
  <c r="J60" i="3"/>
  <c r="Q60" i="3"/>
  <c r="J61" i="3"/>
  <c r="Q61" i="3"/>
  <c r="J62" i="3"/>
  <c r="Q62" i="3"/>
  <c r="J63" i="3"/>
  <c r="Q63" i="3"/>
  <c r="Q66" i="3"/>
  <c r="C7" i="2"/>
  <c r="C18" i="2"/>
  <c r="C19" i="2"/>
  <c r="Q21" i="2"/>
  <c r="Q26" i="2"/>
  <c r="Q22" i="2"/>
  <c r="Q23" i="2"/>
  <c r="Q24" i="2"/>
  <c r="Q25" i="2"/>
  <c r="Q27" i="2"/>
  <c r="E60" i="4"/>
  <c r="F54" i="3"/>
  <c r="G54" i="3"/>
  <c r="I54" i="3"/>
  <c r="E74" i="4"/>
  <c r="G23" i="2"/>
  <c r="I23" i="2"/>
  <c r="E44" i="4"/>
  <c r="F38" i="3"/>
  <c r="G38" i="3"/>
  <c r="H38" i="3"/>
  <c r="E69" i="4"/>
  <c r="E52" i="4"/>
  <c r="F46" i="3"/>
  <c r="G46" i="3"/>
  <c r="H46" i="3"/>
  <c r="E21" i="2"/>
  <c r="F21" i="2"/>
  <c r="G29" i="2"/>
  <c r="I29" i="2"/>
  <c r="E26" i="2"/>
  <c r="F26" i="2"/>
  <c r="G26" i="2"/>
  <c r="I26" i="2"/>
  <c r="E24" i="2"/>
  <c r="F24" i="2"/>
  <c r="G24" i="2"/>
  <c r="I24" i="2"/>
  <c r="G28" i="2"/>
  <c r="J28" i="2"/>
  <c r="E27" i="2"/>
  <c r="F27" i="2"/>
  <c r="G27" i="2"/>
  <c r="I27" i="2"/>
  <c r="E22" i="2"/>
  <c r="F22" i="2"/>
  <c r="G22" i="2"/>
  <c r="I22" i="2"/>
  <c r="G82" i="3"/>
  <c r="K82" i="3"/>
  <c r="E80" i="3"/>
  <c r="G94" i="3"/>
  <c r="K94" i="3"/>
  <c r="E92" i="3"/>
  <c r="F92" i="3"/>
  <c r="G85" i="3"/>
  <c r="K85" i="3"/>
  <c r="F30" i="3"/>
  <c r="G30" i="3"/>
  <c r="H30" i="3"/>
  <c r="G29" i="3"/>
  <c r="H29" i="3"/>
  <c r="E27" i="3"/>
  <c r="F27" i="3"/>
  <c r="G27" i="3"/>
  <c r="H27" i="3"/>
  <c r="E22" i="3"/>
  <c r="E69" i="3"/>
  <c r="F69" i="3"/>
  <c r="G69" i="3"/>
  <c r="K69" i="3"/>
  <c r="E79" i="3"/>
  <c r="F79" i="3"/>
  <c r="G79" i="3"/>
  <c r="K79" i="3"/>
  <c r="G93" i="3"/>
  <c r="K93" i="3"/>
  <c r="E90" i="3"/>
  <c r="F90" i="3"/>
  <c r="U90" i="3"/>
  <c r="E84" i="3"/>
  <c r="F84" i="3"/>
  <c r="G84" i="3"/>
  <c r="J84" i="3"/>
  <c r="E76" i="3"/>
  <c r="F76" i="3"/>
  <c r="G76" i="3"/>
  <c r="E88" i="3"/>
  <c r="F88" i="3"/>
  <c r="G88" i="3"/>
  <c r="K88" i="3"/>
  <c r="G96" i="3"/>
  <c r="K96" i="3"/>
  <c r="G23" i="3"/>
  <c r="H23" i="3"/>
  <c r="G65" i="3"/>
  <c r="K65" i="3"/>
  <c r="G83" i="3"/>
  <c r="K83" i="3"/>
  <c r="E81" i="3"/>
  <c r="F81" i="3"/>
  <c r="G81" i="3"/>
  <c r="K81" i="3"/>
  <c r="U95" i="3"/>
  <c r="E93" i="3"/>
  <c r="F93" i="3"/>
  <c r="G87" i="3"/>
  <c r="J87" i="3"/>
  <c r="E97" i="3"/>
  <c r="F97" i="3"/>
  <c r="G97" i="3"/>
  <c r="K97" i="3"/>
  <c r="G28" i="3"/>
  <c r="H28" i="3"/>
  <c r="E26" i="3"/>
  <c r="F26" i="3"/>
  <c r="G26" i="3"/>
  <c r="H26" i="3"/>
  <c r="E78" i="3"/>
  <c r="G92" i="3"/>
  <c r="K92" i="3"/>
  <c r="E86" i="3"/>
  <c r="F86" i="3"/>
  <c r="U86" i="3"/>
  <c r="E91" i="3"/>
  <c r="F91" i="3"/>
  <c r="G91" i="3"/>
  <c r="K91" i="3"/>
  <c r="J76" i="3"/>
  <c r="E32" i="4"/>
  <c r="E28" i="4"/>
  <c r="F22" i="3"/>
  <c r="G22" i="3"/>
  <c r="H22" i="3"/>
  <c r="F80" i="3"/>
  <c r="G80" i="3"/>
  <c r="K80" i="3"/>
  <c r="E73" i="4"/>
  <c r="E20" i="4"/>
  <c r="E33" i="4"/>
  <c r="F78" i="3"/>
  <c r="G78" i="3"/>
  <c r="E22" i="4"/>
  <c r="E26" i="4"/>
  <c r="C11" i="2"/>
  <c r="C12" i="2"/>
  <c r="C16" i="2"/>
  <c r="D18" i="2"/>
  <c r="E19" i="4"/>
  <c r="E23" i="4"/>
  <c r="O24" i="2"/>
  <c r="O28" i="2"/>
  <c r="O22" i="2"/>
  <c r="O29" i="2"/>
  <c r="O21" i="2"/>
  <c r="O23" i="2"/>
  <c r="O25" i="2"/>
  <c r="O26" i="2"/>
  <c r="O27" i="2"/>
  <c r="J78" i="3"/>
  <c r="C11" i="3"/>
  <c r="C12" i="3"/>
  <c r="C16" i="3" l="1"/>
  <c r="D18" i="3" s="1"/>
  <c r="O80" i="3"/>
  <c r="O60" i="3"/>
  <c r="O74" i="3"/>
  <c r="O43" i="3"/>
  <c r="O90" i="3"/>
  <c r="O85" i="3"/>
  <c r="O72" i="3"/>
  <c r="O58" i="3"/>
  <c r="O50" i="3"/>
  <c r="O61" i="3"/>
  <c r="O68" i="3"/>
  <c r="O24" i="3"/>
  <c r="O95" i="3"/>
  <c r="O36" i="3"/>
  <c r="O71" i="3"/>
  <c r="O75" i="3"/>
  <c r="O64" i="3"/>
  <c r="O40" i="3"/>
  <c r="O39" i="3"/>
  <c r="O70" i="3"/>
  <c r="O69" i="3"/>
  <c r="O45" i="3"/>
  <c r="O34" i="3"/>
  <c r="O99" i="3"/>
  <c r="O83" i="3"/>
  <c r="O42" i="3"/>
  <c r="O28" i="3"/>
  <c r="O51" i="3"/>
  <c r="O84" i="3"/>
  <c r="O56" i="3"/>
  <c r="O73" i="3"/>
  <c r="O37" i="3"/>
  <c r="O93" i="3"/>
  <c r="O96" i="3"/>
  <c r="O88" i="3"/>
  <c r="O87" i="3"/>
  <c r="O23" i="3"/>
  <c r="O94" i="3"/>
  <c r="O48" i="3"/>
  <c r="O65" i="3"/>
  <c r="O81" i="3"/>
  <c r="O82" i="3"/>
  <c r="O32" i="3"/>
  <c r="O53" i="3"/>
  <c r="O92" i="3"/>
  <c r="O89" i="3"/>
  <c r="O46" i="3"/>
  <c r="O27" i="3"/>
  <c r="O59" i="3"/>
  <c r="O76" i="3"/>
  <c r="O78" i="3"/>
  <c r="O63" i="3"/>
  <c r="O35" i="3"/>
  <c r="O22" i="3"/>
  <c r="O30" i="3"/>
  <c r="O98" i="3"/>
  <c r="O57" i="3"/>
  <c r="O52" i="3"/>
  <c r="O26" i="3"/>
  <c r="O41" i="3"/>
  <c r="O31" i="3"/>
  <c r="O55" i="3"/>
  <c r="O77" i="3"/>
  <c r="C15" i="3"/>
  <c r="F18" i="3" s="1"/>
  <c r="O67" i="3"/>
  <c r="O79" i="3"/>
  <c r="O25" i="3"/>
  <c r="O44" i="3"/>
  <c r="O91" i="3"/>
  <c r="O38" i="3"/>
  <c r="O97" i="3"/>
  <c r="O29" i="3"/>
  <c r="O54" i="3"/>
  <c r="O66" i="3"/>
  <c r="O33" i="3"/>
  <c r="O86" i="3"/>
  <c r="O62" i="3"/>
  <c r="O49" i="3"/>
  <c r="O47" i="3"/>
  <c r="O21" i="3"/>
  <c r="F17" i="3"/>
  <c r="F19" i="3" l="1"/>
  <c r="C18" i="3"/>
</calcChain>
</file>

<file path=xl/sharedStrings.xml><?xml version="1.0" encoding="utf-8"?>
<sst xmlns="http://schemas.openxmlformats.org/spreadsheetml/2006/main" count="796" uniqueCount="331">
  <si>
    <t>IBVS 6244</t>
  </si>
  <si>
    <t>IBVS 6196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</si>
  <si>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</si>
  <si>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</si>
  <si>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</si>
  <si>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</si>
  <si>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</si>
  <si>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</si>
  <si>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</si>
  <si>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</si>
  <si>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</si>
  <si>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</si>
  <si>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</si>
  <si>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</si>
  <si>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</si>
  <si>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</si>
  <si>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</si>
  <si>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</si>
  <si>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</si>
  <si>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</si>
  <si>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</si>
  <si>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</si>
  <si>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</si>
  <si>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</si>
  <si>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</si>
  <si>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</si>
  <si>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</si>
  <si>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</si>
  <si>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</si>
  <si>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</si>
  <si>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</si>
  <si>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</si>
  <si>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</si>
  <si>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EG Cas</t>
  </si>
  <si>
    <t>EA</t>
  </si>
  <si>
    <t>IBVS 5603</t>
  </si>
  <si>
    <t>I</t>
  </si>
  <si>
    <t>IBVS 5643</t>
  </si>
  <si>
    <t>IBVS</t>
  </si>
  <si>
    <t>IBVS 5657</t>
  </si>
  <si>
    <t>Period is wrong</t>
  </si>
  <si>
    <t xml:space="preserve">VSX </t>
  </si>
  <si>
    <t>http://www.aavso.org/vsx/index.php?view=detail.top&amp;oid=6482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</si>
  <si>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</si>
  <si>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</si>
  <si>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</si>
  <si>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</si>
  <si>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</si>
  <si>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</si>
  <si>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</si>
  <si>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II</t>
  </si>
  <si>
    <t>IBVS 5802</t>
  </si>
  <si>
    <t>EG Cas / g4008-0252</t>
  </si>
  <si>
    <t>Nelson</t>
  </si>
  <si>
    <t>Start of linear fit &gt;&gt;&gt;&gt;&gt;&gt;&gt;&gt;&gt;&gt;&gt;&gt;&gt;&gt;&gt;&gt;&gt;&gt;&gt;&gt;&gt;</t>
  </si>
  <si>
    <t>IBVS 5875</t>
  </si>
  <si>
    <t>Add cycle</t>
  </si>
  <si>
    <t>Old Cycle</t>
  </si>
  <si>
    <t>IBVS 5960</t>
  </si>
  <si>
    <t>OEJV 0137</t>
  </si>
  <si>
    <t>IBVS 6010</t>
  </si>
  <si>
    <t>IBVS 6042</t>
  </si>
  <si>
    <t>OEJV 0160</t>
  </si>
  <si>
    <t>IBVS 6118</t>
  </si>
  <si>
    <t>IBVS 5984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</si>
  <si>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</si>
  <si>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</si>
  <si>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</si>
  <si>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</si>
  <si>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</si>
  <si>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</si>
  <si>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</si>
  <si>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</si>
  <si>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</si>
  <si>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</si>
  <si>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</si>
  <si>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</si>
  <si>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</si>
  <si>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</si>
  <si>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</si>
  <si>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2428408.585 </t>
  </si>
  <si>
    <t> 28.08.1936 02:02 </t>
  </si>
  <si>
    <t> 0.021 </t>
  </si>
  <si>
    <t>P </t>
  </si>
  <si>
    <t> Ratschmann </t>
  </si>
  <si>
    <t> PZ 13.376 </t>
  </si>
  <si>
    <t>2428427.519 </t>
  </si>
  <si>
    <t> 16.09.1936 00:27 </t>
  </si>
  <si>
    <t> -0.000 </t>
  </si>
  <si>
    <t>2428593.208 </t>
  </si>
  <si>
    <t> 28.02.1937 16:59 </t>
  </si>
  <si>
    <t> -0.016 </t>
  </si>
  <si>
    <t> V.Schöneich </t>
  </si>
  <si>
    <t>2428808.488 </t>
  </si>
  <si>
    <t> 01.10.1937 23:42 </t>
  </si>
  <si>
    <t> 0.032 </t>
  </si>
  <si>
    <t>2429162.520 </t>
  </si>
  <si>
    <t> 21.09.1938 00:28 </t>
  </si>
  <si>
    <t>2429165.506 </t>
  </si>
  <si>
    <t> 24.09.1938 00:08 </t>
  </si>
  <si>
    <t> -0.040 </t>
  </si>
  <si>
    <t>2429491.425 </t>
  </si>
  <si>
    <t> 15.08.1939 22:12 </t>
  </si>
  <si>
    <t> -0.026 </t>
  </si>
  <si>
    <t>2429521.406 </t>
  </si>
  <si>
    <t> 14.09.1939 21:44 </t>
  </si>
  <si>
    <t> -0.007 </t>
  </si>
  <si>
    <t>2429639.313 </t>
  </si>
  <si>
    <t> 10.01.1940 19:30 </t>
  </si>
  <si>
    <t> -0.110 </t>
  </si>
  <si>
    <t>2429721.344 </t>
  </si>
  <si>
    <t> 01.04.1940 20:15 </t>
  </si>
  <si>
    <t> -0.014 </t>
  </si>
  <si>
    <t>2429727.521 </t>
  </si>
  <si>
    <t> 08.04.1940 00:30 </t>
  </si>
  <si>
    <t> 0.048 </t>
  </si>
  <si>
    <t>2430025.271 </t>
  </si>
  <si>
    <t> 30.01.1941 18:30 </t>
  </si>
  <si>
    <t> 0.019 </t>
  </si>
  <si>
    <t>2430026.431 </t>
  </si>
  <si>
    <t> 31.01.1941 22:20 </t>
  </si>
  <si>
    <t> -0.043 </t>
  </si>
  <si>
    <t>2431021.332 </t>
  </si>
  <si>
    <t> 23.10.1943 19:58 </t>
  </si>
  <si>
    <t> 0.020 </t>
  </si>
  <si>
    <t>2432853.235 </t>
  </si>
  <si>
    <t> 28.10.1948 17:38 </t>
  </si>
  <si>
    <t> 0.003 </t>
  </si>
  <si>
    <t>2433117.418 </t>
  </si>
  <si>
    <t> 19.07.1949 22:01 </t>
  </si>
  <si>
    <t> 0.038 </t>
  </si>
  <si>
    <t>2433123.527 </t>
  </si>
  <si>
    <t> 26.07.1949 00:38 </t>
  </si>
  <si>
    <t>2433147.367 </t>
  </si>
  <si>
    <t> 18.08.1949 20:48 </t>
  </si>
  <si>
    <t> 0.025 </t>
  </si>
  <si>
    <t>2433153.450 </t>
  </si>
  <si>
    <t> 24.08.1949 22:48 </t>
  </si>
  <si>
    <t> -0.006 </t>
  </si>
  <si>
    <t>2433899.451 </t>
  </si>
  <si>
    <t> 09.09.1951 22:49 </t>
  </si>
  <si>
    <t>2434121.388 </t>
  </si>
  <si>
    <t> 18.04.1952 21:18 </t>
  </si>
  <si>
    <t> -0.002 </t>
  </si>
  <si>
    <t>2434239.408 </t>
  </si>
  <si>
    <t> 14.08.1952 21:47 </t>
  </si>
  <si>
    <t> 0.007 </t>
  </si>
  <si>
    <t>2434266.292 </t>
  </si>
  <si>
    <t> 10.09.1952 19:00 </t>
  </si>
  <si>
    <t> -0.013 </t>
  </si>
  <si>
    <t>2434330.483 </t>
  </si>
  <si>
    <t> 13.11.1952 23:35 </t>
  </si>
  <si>
    <t> -0.024 </t>
  </si>
  <si>
    <t>2434392.263 </t>
  </si>
  <si>
    <t> 14.01.1953 18:18 </t>
  </si>
  <si>
    <t> -0.001 </t>
  </si>
  <si>
    <t> PZ 13.377 </t>
  </si>
  <si>
    <t>2434623.391 </t>
  </si>
  <si>
    <t> 02.09.1953 21:23 </t>
  </si>
  <si>
    <t>2434635.604 </t>
  </si>
  <si>
    <t> 15.09.1953 02:29 </t>
  </si>
  <si>
    <t> -0.020 </t>
  </si>
  <si>
    <t>2434637.485 </t>
  </si>
  <si>
    <t> 16.09.1953 23:38 </t>
  </si>
  <si>
    <t> 0.027 </t>
  </si>
  <si>
    <t>2436458.373 </t>
  </si>
  <si>
    <t> 11.09.1958 20:57 </t>
  </si>
  <si>
    <t> 0.002 </t>
  </si>
  <si>
    <t>2436461.423 </t>
  </si>
  <si>
    <t> 14.09.1958 22:09 </t>
  </si>
  <si>
    <t>2436463.303 </t>
  </si>
  <si>
    <t> 16.09.1958 19:16 </t>
  </si>
  <si>
    <t> 0.040 </t>
  </si>
  <si>
    <t>2447790.387 </t>
  </si>
  <si>
    <t> 20.09.1989 21:17 </t>
  </si>
  <si>
    <t> -0.083 </t>
  </si>
  <si>
    <t> Moschner&amp;Kleikamp </t>
  </si>
  <si>
    <t>BAVM 56 </t>
  </si>
  <si>
    <t>2447804.448 </t>
  </si>
  <si>
    <t> 04.10.1989 22:45 </t>
  </si>
  <si>
    <t> -0.086 </t>
  </si>
  <si>
    <t>2447843.590 </t>
  </si>
  <si>
    <t> 13.11.1989 02:09 </t>
  </si>
  <si>
    <t> -0.077 </t>
  </si>
  <si>
    <t>2447848.475 </t>
  </si>
  <si>
    <t> 17.11.1989 23:24 </t>
  </si>
  <si>
    <t>2448501.505 </t>
  </si>
  <si>
    <t> 02.09.1991 00:07 </t>
  </si>
  <si>
    <t> -0.087 </t>
  </si>
  <si>
    <t> P.Frank </t>
  </si>
  <si>
    <t>BAVM 60 </t>
  </si>
  <si>
    <t>2448539.413 </t>
  </si>
  <si>
    <t> 09.10.1991 21:54 </t>
  </si>
  <si>
    <t> -0.090 </t>
  </si>
  <si>
    <t>2449228.5164 </t>
  </si>
  <si>
    <t> 29.08.1993 00:23 </t>
  </si>
  <si>
    <t> -0.0962 </t>
  </si>
  <si>
    <t>E </t>
  </si>
  <si>
    <t>o</t>
  </si>
  <si>
    <t> W.Moschner </t>
  </si>
  <si>
    <t>BAVM 68 </t>
  </si>
  <si>
    <t>2449571.5326 </t>
  </si>
  <si>
    <t> 07.08.1994 00:46 </t>
  </si>
  <si>
    <t> -0.1064 </t>
  </si>
  <si>
    <t>BAVM 172 </t>
  </si>
  <si>
    <t>2450706.3751 </t>
  </si>
  <si>
    <t> 14.09.1997 21:00 </t>
  </si>
  <si>
    <t> -0.1247 </t>
  </si>
  <si>
    <t>2451471.2945 </t>
  </si>
  <si>
    <t> 19.10.1999 19:04 </t>
  </si>
  <si>
    <t> -0.1357 </t>
  </si>
  <si>
    <t> D.Husar </t>
  </si>
  <si>
    <t>2451834.4919 </t>
  </si>
  <si>
    <t> 16.10.2000 23:48 </t>
  </si>
  <si>
    <t> -0.1427 </t>
  </si>
  <si>
    <t> K.&amp; M.Rätz </t>
  </si>
  <si>
    <t>2452224.2883 </t>
  </si>
  <si>
    <t> 10.11.2001 18:55 </t>
  </si>
  <si>
    <t> -0.1490 </t>
  </si>
  <si>
    <t>?</t>
  </si>
  <si>
    <t> E.Blättler </t>
  </si>
  <si>
    <t> BBS 127 </t>
  </si>
  <si>
    <t>2453267.7188 </t>
  </si>
  <si>
    <t> 19.09.2004 05:15 </t>
  </si>
  <si>
    <t> -0.1667 </t>
  </si>
  <si>
    <t> S.Dvorak </t>
  </si>
  <si>
    <t>IBVS 5603 </t>
  </si>
  <si>
    <t>2453349.3493 </t>
  </si>
  <si>
    <t> 09.12.2004 20:22 </t>
  </si>
  <si>
    <t> -0.1655 </t>
  </si>
  <si>
    <t>-I</t>
  </si>
  <si>
    <t> F.Agerer </t>
  </si>
  <si>
    <t>BAVM 173 </t>
  </si>
  <si>
    <t>2454017.3491 </t>
  </si>
  <si>
    <t> 08.10.2006 20:22 </t>
  </si>
  <si>
    <t>28663</t>
  </si>
  <si>
    <t> -0.1804 </t>
  </si>
  <si>
    <t>C </t>
  </si>
  <si>
    <t>BAVM 183 </t>
  </si>
  <si>
    <t>2454026.5209 </t>
  </si>
  <si>
    <t> 18.10.2006 00:30 </t>
  </si>
  <si>
    <t>28678</t>
  </si>
  <si>
    <t> -0.1805 </t>
  </si>
  <si>
    <t>BAVM 186 </t>
  </si>
  <si>
    <t>2454725.7052 </t>
  </si>
  <si>
    <t> 16.09.2008 04:55 </t>
  </si>
  <si>
    <t>29821.5</t>
  </si>
  <si>
    <t> -0.1952 </t>
  </si>
  <si>
    <t> R.Nelson </t>
  </si>
  <si>
    <t>IBVS 5875 </t>
  </si>
  <si>
    <t>2454832.4031 </t>
  </si>
  <si>
    <t> 31.12.2008 21:40 </t>
  </si>
  <si>
    <t>29996</t>
  </si>
  <si>
    <t> -0.1962 </t>
  </si>
  <si>
    <t>BAVM 209 </t>
  </si>
  <si>
    <t>2455049.4661 </t>
  </si>
  <si>
    <t> 05.08.2009 23:11 </t>
  </si>
  <si>
    <t>30351</t>
  </si>
  <si>
    <t> -0.1998 </t>
  </si>
  <si>
    <t>BAVM 212 </t>
  </si>
  <si>
    <t>2455063.5305 </t>
  </si>
  <si>
    <t> 20.08.2009 00:43 </t>
  </si>
  <si>
    <t>30374</t>
  </si>
  <si>
    <t> -0.1988 </t>
  </si>
  <si>
    <t>2455067.5070 </t>
  </si>
  <si>
    <t> 24.08.2009 00:10 </t>
  </si>
  <si>
    <t>30380.5</t>
  </si>
  <si>
    <t> -0.1968 </t>
  </si>
  <si>
    <t>2455074.5358 </t>
  </si>
  <si>
    <t> 31.08.2009 00:51 </t>
  </si>
  <si>
    <t>30392</t>
  </si>
  <si>
    <t> -0.1997 </t>
  </si>
  <si>
    <t>2455483.2863 </t>
  </si>
  <si>
    <t> 13.10.2010 18:52 </t>
  </si>
  <si>
    <t>31060.5</t>
  </si>
  <si>
    <t> -0.2070 </t>
  </si>
  <si>
    <t>R</t>
  </si>
  <si>
    <t> M.Lehky </t>
  </si>
  <si>
    <t>OEJV 0137 </t>
  </si>
  <si>
    <t>2455508.6614 </t>
  </si>
  <si>
    <t> 08.11.2010 03:52 </t>
  </si>
  <si>
    <t>31102</t>
  </si>
  <si>
    <t> -0.2073 </t>
  </si>
  <si>
    <t> R.Diethelm </t>
  </si>
  <si>
    <t>IBVS 5960 </t>
  </si>
  <si>
    <t>2455514.4724 </t>
  </si>
  <si>
    <t> 13.11.2010 23:20 </t>
  </si>
  <si>
    <t>31111.5</t>
  </si>
  <si>
    <t> -0.2051 </t>
  </si>
  <si>
    <t>BAVM 215 </t>
  </si>
  <si>
    <t>2455776.4741 </t>
  </si>
  <si>
    <t> 02.08.2011 23:22 </t>
  </si>
  <si>
    <t>31540</t>
  </si>
  <si>
    <t> -0.2120 </t>
  </si>
  <si>
    <t>BAVM 220 </t>
  </si>
  <si>
    <t>2455833.33532 </t>
  </si>
  <si>
    <t> 28.09.2011 20:02 </t>
  </si>
  <si>
    <t>31633</t>
  </si>
  <si>
    <t> -0.21607 </t>
  </si>
  <si>
    <t>OEJV 0160 </t>
  </si>
  <si>
    <t>2455838.5382 </t>
  </si>
  <si>
    <t> 04.10.2011 00:55 </t>
  </si>
  <si>
    <t>31641.5</t>
  </si>
  <si>
    <t> -0.2106 </t>
  </si>
  <si>
    <t>BAVM 225 </t>
  </si>
  <si>
    <t>2455874.3050 </t>
  </si>
  <si>
    <t> 08.11.2011 19:19 </t>
  </si>
  <si>
    <t>31700</t>
  </si>
  <si>
    <t> -0.2139 </t>
  </si>
  <si>
    <t>2456159.5419 </t>
  </si>
  <si>
    <t> 20.08.2012 01:00 </t>
  </si>
  <si>
    <t>32166.5</t>
  </si>
  <si>
    <t> -0.2208 </t>
  </si>
  <si>
    <t>2456246.6712 </t>
  </si>
  <si>
    <t> 15.11.2012 04:06 </t>
  </si>
  <si>
    <t>32309</t>
  </si>
  <si>
    <t> -0.2239 </t>
  </si>
  <si>
    <t>IBVS 6042 </t>
  </si>
  <si>
    <t>2456585.412 </t>
  </si>
  <si>
    <t> 19.10.2013 21:53 </t>
  </si>
  <si>
    <t>32863</t>
  </si>
  <si>
    <t> -0.229 </t>
  </si>
  <si>
    <t>BAVM 234 </t>
  </si>
  <si>
    <t>2456950.4442 </t>
  </si>
  <si>
    <t> 19.10.2014 22:39 </t>
  </si>
  <si>
    <t>33460</t>
  </si>
  <si>
    <t> -0.2358 </t>
  </si>
  <si>
    <t>BAVM 239 </t>
  </si>
  <si>
    <t>OEJV 0179</t>
  </si>
  <si>
    <t>OEJV 0211</t>
  </si>
  <si>
    <t>OEJV 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</si>
</sst>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8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8" xfId="0" applyFont="1" applyBorder="1" applyAlignment="1"/>
    <xf numFmtId="0" fontId="9" fillId="0" borderId="9" xfId="0" applyFont="1" applyBorder="1" applyAlignment="1"/>
    <xf numFmtId="0" fontId="10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>
      <alignment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10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Cas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  <c:pt idx="1">
                  <c:v>0.13296678749611601</c:v>
                </c:pt>
                <c:pt idx="2">
                  <c:v>0.11215576050017262</c:v>
                </c:pt>
                <c:pt idx="3">
                  <c:v>9.9420653496054001E-2</c:v>
                </c:pt>
                <c:pt idx="4">
                  <c:v>0.15059866950105061</c:v>
                </c:pt>
                <c:pt idx="5">
                  <c:v>-0.15007843200146453</c:v>
                </c:pt>
                <c:pt idx="6">
                  <c:v>8.4416741497989278E-2</c:v>
                </c:pt>
                <c:pt idx="7">
                  <c:v>0.10295618049713084</c:v>
                </c:pt>
                <c:pt idx="8">
                  <c:v>0.12312584749815869</c:v>
                </c:pt>
                <c:pt idx="9">
                  <c:v>2.1141066496056737E-2</c:v>
                </c:pt>
                <c:pt idx="10">
                  <c:v>0.11844178849787568</c:v>
                </c:pt>
                <c:pt idx="11">
                  <c:v>-0.12473614000191446</c:v>
                </c:pt>
                <c:pt idx="12">
                  <c:v>-0.14870291900297161</c:v>
                </c:pt>
                <c:pt idx="13">
                  <c:v>9.4128805500076851E-2</c:v>
                </c:pt>
                <c:pt idx="14">
                  <c:v>-0.1324501120034256</c:v>
                </c:pt>
                <c:pt idx="15">
                  <c:v>-0.12021904400171479</c:v>
                </c:pt>
                <c:pt idx="16">
                  <c:v>-8.1682388001354411E-2</c:v>
                </c:pt>
                <c:pt idx="17">
                  <c:v>-8.7137558002723381E-2</c:v>
                </c:pt>
                <c:pt idx="18">
                  <c:v>-9.3512721003207844E-2</c:v>
                </c:pt>
                <c:pt idx="19">
                  <c:v>-0.12496789100259775</c:v>
                </c:pt>
                <c:pt idx="20">
                  <c:v>-8.7498631000926252E-2</c:v>
                </c:pt>
                <c:pt idx="21">
                  <c:v>-0.10522130200115498</c:v>
                </c:pt>
                <c:pt idx="22">
                  <c:v>-9.42060829984257E-2</c:v>
                </c:pt>
                <c:pt idx="23">
                  <c:v>-0.11380883099627681</c:v>
                </c:pt>
                <c:pt idx="24">
                  <c:v>-0.12458811599935871</c:v>
                </c:pt>
                <c:pt idx="25">
                  <c:v>-0.10058533300616546</c:v>
                </c:pt>
                <c:pt idx="26">
                  <c:v>-9.8990758997388184E-2</c:v>
                </c:pt>
                <c:pt idx="27">
                  <c:v>-0.11490109900478274</c:v>
                </c:pt>
                <c:pt idx="28">
                  <c:v>-6.8237650004448369E-2</c:v>
                </c:pt>
                <c:pt idx="29">
                  <c:v>-6.4987276004103478E-2</c:v>
                </c:pt>
                <c:pt idx="30">
                  <c:v>-7.2214861000247765E-2</c:v>
                </c:pt>
                <c:pt idx="31">
                  <c:v>-2.6551412003755104E-2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AE-4251-9E3D-AA23813893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Active!$D$21:$D$281</c:f>
                <c:numCache>
                  <c:formatCode>General</c:formatCode>
                  <c:ptCount val="2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8.0000000000000004E-4</c:v>
                  </c:pt>
                  <c:pt idx="40">
                    <c:v>4.1999999999999997E-3</c:v>
                  </c:pt>
                  <c:pt idx="41">
                    <c:v>2E-3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2.7000000000000001E-3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5.0000000000000001E-3</c:v>
                  </c:pt>
                  <c:pt idx="57">
                    <c:v>1.9E-3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1E-3</c:v>
                  </c:pt>
                  <c:pt idx="62">
                    <c:v>4.0000000000000002E-4</c:v>
                  </c:pt>
                  <c:pt idx="63">
                    <c:v>1.1999999999999999E-3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2.8999999999999998E-3</c:v>
                  </c:pt>
                  <c:pt idx="67">
                    <c:v>1.2999999999999999E-3</c:v>
                  </c:pt>
                  <c:pt idx="68">
                    <c:v>4.7999999999999996E-3</c:v>
                  </c:pt>
                  <c:pt idx="69">
                    <c:v>8.0000000000000004E-4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1E-4</c:v>
                  </c:pt>
                </c:numCache>
              </c:numRef>
            </c:plus>
            <c:minus>
              <c:numRef>
                <c:f>Active!$D$21:$D$281</c:f>
                <c:numCache>
                  <c:formatCode>General</c:formatCode>
                  <c:ptCount val="2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8.0000000000000004E-4</c:v>
                  </c:pt>
                  <c:pt idx="40">
                    <c:v>4.1999999999999997E-3</c:v>
                  </c:pt>
                  <c:pt idx="41">
                    <c:v>2E-3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2.7000000000000001E-3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5.0000000000000001E-3</c:v>
                  </c:pt>
                  <c:pt idx="57">
                    <c:v>1.9E-3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1E-3</c:v>
                  </c:pt>
                  <c:pt idx="62">
                    <c:v>4.0000000000000002E-4</c:v>
                  </c:pt>
                  <c:pt idx="63">
                    <c:v>1.1999999999999999E-3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2.8999999999999998E-3</c:v>
                  </c:pt>
                  <c:pt idx="67">
                    <c:v>1.2999999999999999E-3</c:v>
                  </c:pt>
                  <c:pt idx="68">
                    <c:v>4.7999999999999996E-3</c:v>
                  </c:pt>
                  <c:pt idx="69">
                    <c:v>8.0000000000000004E-4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32">
                  <c:v>2.9246163001516834E-2</c:v>
                </c:pt>
                <c:pt idx="33">
                  <c:v>2.6999271991371643E-2</c:v>
                </c:pt>
                <c:pt idx="34">
                  <c:v>3.6486183991655707E-2</c:v>
                </c:pt>
                <c:pt idx="35">
                  <c:v>2.9922047993750311E-2</c:v>
                </c:pt>
                <c:pt idx="36">
                  <c:v>3.610989198932657E-2</c:v>
                </c:pt>
                <c:pt idx="37">
                  <c:v>3.4487837998312898E-2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AE-4251-9E3D-AA23813893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8">
                  <c:v>3.8790179001807701E-2</c:v>
                </c:pt>
                <c:pt idx="39">
                  <c:v>3.4055141994031146E-2</c:v>
                </c:pt>
                <c:pt idx="40">
                  <c:v>3.3675589998892974E-2</c:v>
                </c:pt>
                <c:pt idx="41">
                  <c:v>3.473382299853256E-2</c:v>
                </c:pt>
                <c:pt idx="42">
                  <c:v>3.3496725001896266E-2</c:v>
                </c:pt>
                <c:pt idx="45">
                  <c:v>3.4628357498149853E-2</c:v>
                </c:pt>
                <c:pt idx="46">
                  <c:v>3.0201034991478082E-2</c:v>
                </c:pt>
                <c:pt idx="47">
                  <c:v>3.031827999802772E-2</c:v>
                </c:pt>
                <c:pt idx="55">
                  <c:v>2.6885071994911414E-2</c:v>
                </c:pt>
                <c:pt idx="56">
                  <c:v>2.9152660499676131E-2</c:v>
                </c:pt>
                <c:pt idx="57">
                  <c:v>2.6448625991179142E-2</c:v>
                </c:pt>
                <c:pt idx="63">
                  <c:v>2.1929634996922687E-2</c:v>
                </c:pt>
                <c:pt idx="66">
                  <c:v>2.1155985989025794E-2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AE-4251-9E3D-AA23813893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3">
                  <c:v>3.3379637498001102E-2</c:v>
                </c:pt>
                <c:pt idx="44">
                  <c:v>3.2104876998346299E-2</c:v>
                </c:pt>
                <c:pt idx="48">
                  <c:v>2.6669590493838768E-2</c:v>
                </c:pt>
                <c:pt idx="49">
                  <c:v>2.7326873998390511E-2</c:v>
                </c:pt>
                <c:pt idx="50">
                  <c:v>2.7168338994670194E-2</c:v>
                </c:pt>
                <c:pt idx="51">
                  <c:v>2.8321447993221227E-2</c:v>
                </c:pt>
                <c:pt idx="52">
                  <c:v>3.0425587494391948E-2</c:v>
                </c:pt>
                <c:pt idx="53">
                  <c:v>2.7602141999523155E-2</c:v>
                </c:pt>
                <c:pt idx="54">
                  <c:v>2.680402749683708E-2</c:v>
                </c:pt>
                <c:pt idx="58">
                  <c:v>2.323554499889724E-2</c:v>
                </c:pt>
                <c:pt idx="59">
                  <c:v>2.8828650501964148E-2</c:v>
                </c:pt>
                <c:pt idx="60">
                  <c:v>2.6065905993164051E-2</c:v>
                </c:pt>
                <c:pt idx="61">
                  <c:v>2.3632225493201986E-2</c:v>
                </c:pt>
                <c:pt idx="62">
                  <c:v>2.1946052991552278E-2</c:v>
                </c:pt>
                <c:pt idx="64">
                  <c:v>2.2894471992913168E-2</c:v>
                </c:pt>
                <c:pt idx="67">
                  <c:v>1.9623696993221529E-2</c:v>
                </c:pt>
                <c:pt idx="70">
                  <c:v>1.9974057991930749E-2</c:v>
                </c:pt>
                <c:pt idx="71">
                  <c:v>1.7863136003143154E-2</c:v>
                </c:pt>
                <c:pt idx="72">
                  <c:v>1.8243136000819504E-2</c:v>
                </c:pt>
                <c:pt idx="73">
                  <c:v>1.8513135997636709E-2</c:v>
                </c:pt>
                <c:pt idx="75">
                  <c:v>1.5923289996862877E-2</c:v>
                </c:pt>
                <c:pt idx="76">
                  <c:v>1.1332623857015278E-2</c:v>
                </c:pt>
                <c:pt idx="77">
                  <c:v>1.5462623996427283E-2</c:v>
                </c:pt>
                <c:pt idx="78">
                  <c:v>1.5543317989795469E-2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AE-4251-9E3D-AA23813893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AE-4251-9E3D-AA23813893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AE-4251-9E3D-AA23813893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AE-4251-9E3D-AA23813893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0.17481257503346598</c:v>
                </c:pt>
                <c:pt idx="1">
                  <c:v>0.15918328897833967</c:v>
                </c:pt>
                <c:pt idx="2">
                  <c:v>0.15909122097497455</c:v>
                </c:pt>
                <c:pt idx="3">
                  <c:v>0.15828636842942789</c:v>
                </c:pt>
                <c:pt idx="4">
                  <c:v>0.157240951100895</c:v>
                </c:pt>
                <c:pt idx="5">
                  <c:v>0.15551987342508583</c:v>
                </c:pt>
                <c:pt idx="6">
                  <c:v>0.15550650871491994</c:v>
                </c:pt>
                <c:pt idx="7">
                  <c:v>0.15392353304415846</c:v>
                </c:pt>
                <c:pt idx="8">
                  <c:v>0.15377800620012971</c:v>
                </c:pt>
                <c:pt idx="9">
                  <c:v>0.15320480863079206</c:v>
                </c:pt>
                <c:pt idx="10">
                  <c:v>0.15280683726140737</c:v>
                </c:pt>
                <c:pt idx="11">
                  <c:v>0.15277565293768694</c:v>
                </c:pt>
                <c:pt idx="12">
                  <c:v>0.15132929430417691</c:v>
                </c:pt>
                <c:pt idx="13">
                  <c:v>0.15132483940078828</c:v>
                </c:pt>
                <c:pt idx="14">
                  <c:v>0.14649126922411976</c:v>
                </c:pt>
                <c:pt idx="15">
                  <c:v>0.13759334218922029</c:v>
                </c:pt>
                <c:pt idx="16">
                  <c:v>0.13631033001329354</c:v>
                </c:pt>
                <c:pt idx="17">
                  <c:v>0.13628063065736931</c:v>
                </c:pt>
                <c:pt idx="18">
                  <c:v>0.13616480316926483</c:v>
                </c:pt>
                <c:pt idx="19">
                  <c:v>0.13613510381334057</c:v>
                </c:pt>
                <c:pt idx="20">
                  <c:v>0.13251178239058445</c:v>
                </c:pt>
                <c:pt idx="21">
                  <c:v>0.13143369577053488</c:v>
                </c:pt>
                <c:pt idx="22">
                  <c:v>0.13086049820119725</c:v>
                </c:pt>
                <c:pt idx="23">
                  <c:v>0.13072982103513062</c:v>
                </c:pt>
                <c:pt idx="24">
                  <c:v>0.13041797779792619</c:v>
                </c:pt>
                <c:pt idx="25">
                  <c:v>0.13011801430309147</c:v>
                </c:pt>
                <c:pt idx="26">
                  <c:v>0.12899537864915556</c:v>
                </c:pt>
                <c:pt idx="27">
                  <c:v>0.1289359799373071</c:v>
                </c:pt>
                <c:pt idx="28">
                  <c:v>0.12892707013052984</c:v>
                </c:pt>
                <c:pt idx="29">
                  <c:v>0.12008260193629398</c:v>
                </c:pt>
                <c:pt idx="30">
                  <c:v>0.12006775225833187</c:v>
                </c:pt>
                <c:pt idx="31">
                  <c:v>0.1200588424515546</c:v>
                </c:pt>
                <c:pt idx="32">
                  <c:v>6.5040785601917575E-2</c:v>
                </c:pt>
                <c:pt idx="33">
                  <c:v>6.4972477083291846E-2</c:v>
                </c:pt>
                <c:pt idx="34">
                  <c:v>6.4782401205376761E-2</c:v>
                </c:pt>
                <c:pt idx="35">
                  <c:v>6.4758641720637375E-2</c:v>
                </c:pt>
                <c:pt idx="36">
                  <c:v>6.1586750507929555E-2</c:v>
                </c:pt>
                <c:pt idx="37">
                  <c:v>6.1402614501199326E-2</c:v>
                </c:pt>
                <c:pt idx="38">
                  <c:v>5.8055497088538549E-2</c:v>
                </c:pt>
                <c:pt idx="39">
                  <c:v>5.6389363221189218E-2</c:v>
                </c:pt>
                <c:pt idx="40">
                  <c:v>5.0877162761652037E-2</c:v>
                </c:pt>
                <c:pt idx="41">
                  <c:v>4.7161773335530788E-2</c:v>
                </c:pt>
                <c:pt idx="42">
                  <c:v>4.5397631593631499E-2</c:v>
                </c:pt>
                <c:pt idx="43">
                  <c:v>4.350429765346181E-2</c:v>
                </c:pt>
                <c:pt idx="44">
                  <c:v>3.8436102564991886E-2</c:v>
                </c:pt>
                <c:pt idx="45">
                  <c:v>3.80396161634034E-2</c:v>
                </c:pt>
                <c:pt idx="46">
                  <c:v>3.4794961528681223E-2</c:v>
                </c:pt>
                <c:pt idx="47">
                  <c:v>3.475041249479488E-2</c:v>
                </c:pt>
                <c:pt idx="48">
                  <c:v>3.1354291144859103E-2</c:v>
                </c:pt>
                <c:pt idx="49">
                  <c:v>3.0836037383981274E-2</c:v>
                </c:pt>
                <c:pt idx="50">
                  <c:v>2.9781710248671101E-2</c:v>
                </c:pt>
                <c:pt idx="51">
                  <c:v>2.9713401730045386E-2</c:v>
                </c:pt>
                <c:pt idx="52">
                  <c:v>2.9694097148694615E-2</c:v>
                </c:pt>
                <c:pt idx="53">
                  <c:v>2.9659942889381757E-2</c:v>
                </c:pt>
                <c:pt idx="54">
                  <c:v>2.7674540945846954E-2</c:v>
                </c:pt>
                <c:pt idx="55">
                  <c:v>2.7551288618761383E-2</c:v>
                </c:pt>
                <c:pt idx="56">
                  <c:v>2.7523074230633382E-2</c:v>
                </c:pt>
                <c:pt idx="57">
                  <c:v>2.6250456829280094E-2</c:v>
                </c:pt>
                <c:pt idx="58">
                  <c:v>2.5974252819184751E-2</c:v>
                </c:pt>
                <c:pt idx="59">
                  <c:v>2.5949008366649151E-2</c:v>
                </c:pt>
                <c:pt idx="60">
                  <c:v>2.5775267134492408E-2</c:v>
                </c:pt>
                <c:pt idx="61">
                  <c:v>2.4389792180627062E-2</c:v>
                </c:pt>
                <c:pt idx="62">
                  <c:v>2.3966576358706776E-2</c:v>
                </c:pt>
                <c:pt idx="63">
                  <c:v>2.2321232040504402E-2</c:v>
                </c:pt>
                <c:pt idx="64">
                  <c:v>2.2205404552399888E-2</c:v>
                </c:pt>
                <c:pt idx="65">
                  <c:v>2.0704102110430056E-2</c:v>
                </c:pt>
                <c:pt idx="66">
                  <c:v>2.0548180491827828E-2</c:v>
                </c:pt>
                <c:pt idx="67">
                  <c:v>1.9012723790545111E-2</c:v>
                </c:pt>
                <c:pt idx="68">
                  <c:v>1.8877591721089881E-2</c:v>
                </c:pt>
                <c:pt idx="69">
                  <c:v>1.8853832236350482E-2</c:v>
                </c:pt>
                <c:pt idx="70">
                  <c:v>1.8813738105852768E-2</c:v>
                </c:pt>
                <c:pt idx="71">
                  <c:v>1.7429748119783622E-2</c:v>
                </c:pt>
                <c:pt idx="72">
                  <c:v>1.7429748119783622E-2</c:v>
                </c:pt>
                <c:pt idx="73">
                  <c:v>1.7429748119783622E-2</c:v>
                </c:pt>
                <c:pt idx="74">
                  <c:v>1.7196608175778422E-2</c:v>
                </c:pt>
                <c:pt idx="75">
                  <c:v>1.5534929211817733E-2</c:v>
                </c:pt>
                <c:pt idx="76">
                  <c:v>1.5243875523760275E-2</c:v>
                </c:pt>
                <c:pt idx="77">
                  <c:v>1.5243875523760275E-2</c:v>
                </c:pt>
                <c:pt idx="78">
                  <c:v>1.5190416683096647E-2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AE-4251-9E3D-AA238138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746784"/>
        <c:axId val="1"/>
      </c:scatterChart>
      <c:valAx>
        <c:axId val="4187467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74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70937800787824"/>
          <c:y val="0.92073298764483702"/>
          <c:w val="0.66074364290893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Cas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58966565349544"/>
          <c:w val="0.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  <c:pt idx="1">
                  <c:v>0.13296678749611601</c:v>
                </c:pt>
                <c:pt idx="2">
                  <c:v>0.11215576050017262</c:v>
                </c:pt>
                <c:pt idx="3">
                  <c:v>9.9420653496054001E-2</c:v>
                </c:pt>
                <c:pt idx="4">
                  <c:v>0.15059866950105061</c:v>
                </c:pt>
                <c:pt idx="5">
                  <c:v>-0.15007843200146453</c:v>
                </c:pt>
                <c:pt idx="6">
                  <c:v>8.4416741497989278E-2</c:v>
                </c:pt>
                <c:pt idx="7">
                  <c:v>0.10295618049713084</c:v>
                </c:pt>
                <c:pt idx="8">
                  <c:v>0.12312584749815869</c:v>
                </c:pt>
                <c:pt idx="9">
                  <c:v>2.1141066496056737E-2</c:v>
                </c:pt>
                <c:pt idx="10">
                  <c:v>0.11844178849787568</c:v>
                </c:pt>
                <c:pt idx="11">
                  <c:v>-0.12473614000191446</c:v>
                </c:pt>
                <c:pt idx="12">
                  <c:v>-0.14870291900297161</c:v>
                </c:pt>
                <c:pt idx="13">
                  <c:v>9.4128805500076851E-2</c:v>
                </c:pt>
                <c:pt idx="14">
                  <c:v>-0.1324501120034256</c:v>
                </c:pt>
                <c:pt idx="15">
                  <c:v>-0.12021904400171479</c:v>
                </c:pt>
                <c:pt idx="16">
                  <c:v>-8.1682388001354411E-2</c:v>
                </c:pt>
                <c:pt idx="17">
                  <c:v>-8.7137558002723381E-2</c:v>
                </c:pt>
                <c:pt idx="18">
                  <c:v>-9.3512721003207844E-2</c:v>
                </c:pt>
                <c:pt idx="19">
                  <c:v>-0.12496789100259775</c:v>
                </c:pt>
                <c:pt idx="20">
                  <c:v>-8.7498631000926252E-2</c:v>
                </c:pt>
                <c:pt idx="21">
                  <c:v>-0.10522130200115498</c:v>
                </c:pt>
                <c:pt idx="22">
                  <c:v>-9.42060829984257E-2</c:v>
                </c:pt>
                <c:pt idx="23">
                  <c:v>-0.11380883099627681</c:v>
                </c:pt>
                <c:pt idx="24">
                  <c:v>-0.12458811599935871</c:v>
                </c:pt>
                <c:pt idx="25">
                  <c:v>-0.10058533300616546</c:v>
                </c:pt>
                <c:pt idx="26">
                  <c:v>-9.8990758997388184E-2</c:v>
                </c:pt>
                <c:pt idx="27">
                  <c:v>-0.11490109900478274</c:v>
                </c:pt>
                <c:pt idx="28">
                  <c:v>-6.8237650004448369E-2</c:v>
                </c:pt>
                <c:pt idx="29">
                  <c:v>-6.4987276004103478E-2</c:v>
                </c:pt>
                <c:pt idx="30">
                  <c:v>-7.2214861000247765E-2</c:v>
                </c:pt>
                <c:pt idx="31">
                  <c:v>-2.6551412003755104E-2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8-4F44-8271-45783E656D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Active!$D$21:$D$281</c:f>
                <c:numCache>
                  <c:formatCode>General</c:formatCode>
                  <c:ptCount val="2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8.0000000000000004E-4</c:v>
                  </c:pt>
                  <c:pt idx="40">
                    <c:v>4.1999999999999997E-3</c:v>
                  </c:pt>
                  <c:pt idx="41">
                    <c:v>2E-3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2.7000000000000001E-3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5.0000000000000001E-3</c:v>
                  </c:pt>
                  <c:pt idx="57">
                    <c:v>1.9E-3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1E-3</c:v>
                  </c:pt>
                  <c:pt idx="62">
                    <c:v>4.0000000000000002E-4</c:v>
                  </c:pt>
                  <c:pt idx="63">
                    <c:v>1.1999999999999999E-3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2.8999999999999998E-3</c:v>
                  </c:pt>
                  <c:pt idx="67">
                    <c:v>1.2999999999999999E-3</c:v>
                  </c:pt>
                  <c:pt idx="68">
                    <c:v>4.7999999999999996E-3</c:v>
                  </c:pt>
                  <c:pt idx="69">
                    <c:v>8.0000000000000004E-4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1E-4</c:v>
                  </c:pt>
                </c:numCache>
              </c:numRef>
            </c:plus>
            <c:minus>
              <c:numRef>
                <c:f>Active!$D$21:$D$281</c:f>
                <c:numCache>
                  <c:formatCode>General</c:formatCode>
                  <c:ptCount val="2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8.0000000000000004E-4</c:v>
                  </c:pt>
                  <c:pt idx="40">
                    <c:v>4.1999999999999997E-3</c:v>
                  </c:pt>
                  <c:pt idx="41">
                    <c:v>2E-3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2.7000000000000001E-3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5.0000000000000001E-3</c:v>
                  </c:pt>
                  <c:pt idx="57">
                    <c:v>1.9E-3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1E-3</c:v>
                  </c:pt>
                  <c:pt idx="62">
                    <c:v>4.0000000000000002E-4</c:v>
                  </c:pt>
                  <c:pt idx="63">
                    <c:v>1.1999999999999999E-3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2.8999999999999998E-3</c:v>
                  </c:pt>
                  <c:pt idx="67">
                    <c:v>1.2999999999999999E-3</c:v>
                  </c:pt>
                  <c:pt idx="68">
                    <c:v>4.7999999999999996E-3</c:v>
                  </c:pt>
                  <c:pt idx="69">
                    <c:v>8.0000000000000004E-4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5.0000000000000001E-4</c:v>
                  </c:pt>
                  <c:pt idx="77">
                    <c:v>1E-4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32">
                  <c:v>2.9246163001516834E-2</c:v>
                </c:pt>
                <c:pt idx="33">
                  <c:v>2.6999271991371643E-2</c:v>
                </c:pt>
                <c:pt idx="34">
                  <c:v>3.6486183991655707E-2</c:v>
                </c:pt>
                <c:pt idx="35">
                  <c:v>2.9922047993750311E-2</c:v>
                </c:pt>
                <c:pt idx="36">
                  <c:v>3.610989198932657E-2</c:v>
                </c:pt>
                <c:pt idx="37">
                  <c:v>3.4487837998312898E-2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8-4F44-8271-45783E656D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8">
                  <c:v>3.8790179001807701E-2</c:v>
                </c:pt>
                <c:pt idx="39">
                  <c:v>3.4055141994031146E-2</c:v>
                </c:pt>
                <c:pt idx="40">
                  <c:v>3.3675589998892974E-2</c:v>
                </c:pt>
                <c:pt idx="41">
                  <c:v>3.473382299853256E-2</c:v>
                </c:pt>
                <c:pt idx="42">
                  <c:v>3.3496725001896266E-2</c:v>
                </c:pt>
                <c:pt idx="45">
                  <c:v>3.4628357498149853E-2</c:v>
                </c:pt>
                <c:pt idx="46">
                  <c:v>3.0201034991478082E-2</c:v>
                </c:pt>
                <c:pt idx="47">
                  <c:v>3.031827999802772E-2</c:v>
                </c:pt>
                <c:pt idx="55">
                  <c:v>2.6885071994911414E-2</c:v>
                </c:pt>
                <c:pt idx="56">
                  <c:v>2.9152660499676131E-2</c:v>
                </c:pt>
                <c:pt idx="57">
                  <c:v>2.6448625991179142E-2</c:v>
                </c:pt>
                <c:pt idx="63">
                  <c:v>2.1929634996922687E-2</c:v>
                </c:pt>
                <c:pt idx="66">
                  <c:v>2.1155985989025794E-2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D8-4F44-8271-45783E656D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3">
                  <c:v>3.3379637498001102E-2</c:v>
                </c:pt>
                <c:pt idx="44">
                  <c:v>3.2104876998346299E-2</c:v>
                </c:pt>
                <c:pt idx="48">
                  <c:v>2.6669590493838768E-2</c:v>
                </c:pt>
                <c:pt idx="49">
                  <c:v>2.7326873998390511E-2</c:v>
                </c:pt>
                <c:pt idx="50">
                  <c:v>2.7168338994670194E-2</c:v>
                </c:pt>
                <c:pt idx="51">
                  <c:v>2.8321447993221227E-2</c:v>
                </c:pt>
                <c:pt idx="52">
                  <c:v>3.0425587494391948E-2</c:v>
                </c:pt>
                <c:pt idx="53">
                  <c:v>2.7602141999523155E-2</c:v>
                </c:pt>
                <c:pt idx="54">
                  <c:v>2.680402749683708E-2</c:v>
                </c:pt>
                <c:pt idx="58">
                  <c:v>2.323554499889724E-2</c:v>
                </c:pt>
                <c:pt idx="59">
                  <c:v>2.8828650501964148E-2</c:v>
                </c:pt>
                <c:pt idx="60">
                  <c:v>2.6065905993164051E-2</c:v>
                </c:pt>
                <c:pt idx="61">
                  <c:v>2.3632225493201986E-2</c:v>
                </c:pt>
                <c:pt idx="62">
                  <c:v>2.1946052991552278E-2</c:v>
                </c:pt>
                <c:pt idx="64">
                  <c:v>2.2894471992913168E-2</c:v>
                </c:pt>
                <c:pt idx="67">
                  <c:v>1.9623696993221529E-2</c:v>
                </c:pt>
                <c:pt idx="70">
                  <c:v>1.9974057991930749E-2</c:v>
                </c:pt>
                <c:pt idx="71">
                  <c:v>1.7863136003143154E-2</c:v>
                </c:pt>
                <c:pt idx="72">
                  <c:v>1.8243136000819504E-2</c:v>
                </c:pt>
                <c:pt idx="73">
                  <c:v>1.8513135997636709E-2</c:v>
                </c:pt>
                <c:pt idx="75">
                  <c:v>1.5923289996862877E-2</c:v>
                </c:pt>
                <c:pt idx="76">
                  <c:v>1.1332623857015278E-2</c:v>
                </c:pt>
                <c:pt idx="77">
                  <c:v>1.5462623996427283E-2</c:v>
                </c:pt>
                <c:pt idx="78">
                  <c:v>1.5543317989795469E-2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D8-4F44-8271-45783E656D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D8-4F44-8271-45783E656D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D8-4F44-8271-45783E656D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D8-4F44-8271-45783E656D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0.17481257503346598</c:v>
                </c:pt>
                <c:pt idx="1">
                  <c:v>0.15918328897833967</c:v>
                </c:pt>
                <c:pt idx="2">
                  <c:v>0.15909122097497455</c:v>
                </c:pt>
                <c:pt idx="3">
                  <c:v>0.15828636842942789</c:v>
                </c:pt>
                <c:pt idx="4">
                  <c:v>0.157240951100895</c:v>
                </c:pt>
                <c:pt idx="5">
                  <c:v>0.15551987342508583</c:v>
                </c:pt>
                <c:pt idx="6">
                  <c:v>0.15550650871491994</c:v>
                </c:pt>
                <c:pt idx="7">
                  <c:v>0.15392353304415846</c:v>
                </c:pt>
                <c:pt idx="8">
                  <c:v>0.15377800620012971</c:v>
                </c:pt>
                <c:pt idx="9">
                  <c:v>0.15320480863079206</c:v>
                </c:pt>
                <c:pt idx="10">
                  <c:v>0.15280683726140737</c:v>
                </c:pt>
                <c:pt idx="11">
                  <c:v>0.15277565293768694</c:v>
                </c:pt>
                <c:pt idx="12">
                  <c:v>0.15132929430417691</c:v>
                </c:pt>
                <c:pt idx="13">
                  <c:v>0.15132483940078828</c:v>
                </c:pt>
                <c:pt idx="14">
                  <c:v>0.14649126922411976</c:v>
                </c:pt>
                <c:pt idx="15">
                  <c:v>0.13759334218922029</c:v>
                </c:pt>
                <c:pt idx="16">
                  <c:v>0.13631033001329354</c:v>
                </c:pt>
                <c:pt idx="17">
                  <c:v>0.13628063065736931</c:v>
                </c:pt>
                <c:pt idx="18">
                  <c:v>0.13616480316926483</c:v>
                </c:pt>
                <c:pt idx="19">
                  <c:v>0.13613510381334057</c:v>
                </c:pt>
                <c:pt idx="20">
                  <c:v>0.13251178239058445</c:v>
                </c:pt>
                <c:pt idx="21">
                  <c:v>0.13143369577053488</c:v>
                </c:pt>
                <c:pt idx="22">
                  <c:v>0.13086049820119725</c:v>
                </c:pt>
                <c:pt idx="23">
                  <c:v>0.13072982103513062</c:v>
                </c:pt>
                <c:pt idx="24">
                  <c:v>0.13041797779792619</c:v>
                </c:pt>
                <c:pt idx="25">
                  <c:v>0.13011801430309147</c:v>
                </c:pt>
                <c:pt idx="26">
                  <c:v>0.12899537864915556</c:v>
                </c:pt>
                <c:pt idx="27">
                  <c:v>0.1289359799373071</c:v>
                </c:pt>
                <c:pt idx="28">
                  <c:v>0.12892707013052984</c:v>
                </c:pt>
                <c:pt idx="29">
                  <c:v>0.12008260193629398</c:v>
                </c:pt>
                <c:pt idx="30">
                  <c:v>0.12006775225833187</c:v>
                </c:pt>
                <c:pt idx="31">
                  <c:v>0.1200588424515546</c:v>
                </c:pt>
                <c:pt idx="32">
                  <c:v>6.5040785601917575E-2</c:v>
                </c:pt>
                <c:pt idx="33">
                  <c:v>6.4972477083291846E-2</c:v>
                </c:pt>
                <c:pt idx="34">
                  <c:v>6.4782401205376761E-2</c:v>
                </c:pt>
                <c:pt idx="35">
                  <c:v>6.4758641720637375E-2</c:v>
                </c:pt>
                <c:pt idx="36">
                  <c:v>6.1586750507929555E-2</c:v>
                </c:pt>
                <c:pt idx="37">
                  <c:v>6.1402614501199326E-2</c:v>
                </c:pt>
                <c:pt idx="38">
                  <c:v>5.8055497088538549E-2</c:v>
                </c:pt>
                <c:pt idx="39">
                  <c:v>5.6389363221189218E-2</c:v>
                </c:pt>
                <c:pt idx="40">
                  <c:v>5.0877162761652037E-2</c:v>
                </c:pt>
                <c:pt idx="41">
                  <c:v>4.7161773335530788E-2</c:v>
                </c:pt>
                <c:pt idx="42">
                  <c:v>4.5397631593631499E-2</c:v>
                </c:pt>
                <c:pt idx="43">
                  <c:v>4.350429765346181E-2</c:v>
                </c:pt>
                <c:pt idx="44">
                  <c:v>3.8436102564991886E-2</c:v>
                </c:pt>
                <c:pt idx="45">
                  <c:v>3.80396161634034E-2</c:v>
                </c:pt>
                <c:pt idx="46">
                  <c:v>3.4794961528681223E-2</c:v>
                </c:pt>
                <c:pt idx="47">
                  <c:v>3.475041249479488E-2</c:v>
                </c:pt>
                <c:pt idx="48">
                  <c:v>3.1354291144859103E-2</c:v>
                </c:pt>
                <c:pt idx="49">
                  <c:v>3.0836037383981274E-2</c:v>
                </c:pt>
                <c:pt idx="50">
                  <c:v>2.9781710248671101E-2</c:v>
                </c:pt>
                <c:pt idx="51">
                  <c:v>2.9713401730045386E-2</c:v>
                </c:pt>
                <c:pt idx="52">
                  <c:v>2.9694097148694615E-2</c:v>
                </c:pt>
                <c:pt idx="53">
                  <c:v>2.9659942889381757E-2</c:v>
                </c:pt>
                <c:pt idx="54">
                  <c:v>2.7674540945846954E-2</c:v>
                </c:pt>
                <c:pt idx="55">
                  <c:v>2.7551288618761383E-2</c:v>
                </c:pt>
                <c:pt idx="56">
                  <c:v>2.7523074230633382E-2</c:v>
                </c:pt>
                <c:pt idx="57">
                  <c:v>2.6250456829280094E-2</c:v>
                </c:pt>
                <c:pt idx="58">
                  <c:v>2.5974252819184751E-2</c:v>
                </c:pt>
                <c:pt idx="59">
                  <c:v>2.5949008366649151E-2</c:v>
                </c:pt>
                <c:pt idx="60">
                  <c:v>2.5775267134492408E-2</c:v>
                </c:pt>
                <c:pt idx="61">
                  <c:v>2.4389792180627062E-2</c:v>
                </c:pt>
                <c:pt idx="62">
                  <c:v>2.3966576358706776E-2</c:v>
                </c:pt>
                <c:pt idx="63">
                  <c:v>2.2321232040504402E-2</c:v>
                </c:pt>
                <c:pt idx="64">
                  <c:v>2.2205404552399888E-2</c:v>
                </c:pt>
                <c:pt idx="65">
                  <c:v>2.0704102110430056E-2</c:v>
                </c:pt>
                <c:pt idx="66">
                  <c:v>2.0548180491827828E-2</c:v>
                </c:pt>
                <c:pt idx="67">
                  <c:v>1.9012723790545111E-2</c:v>
                </c:pt>
                <c:pt idx="68">
                  <c:v>1.8877591721089881E-2</c:v>
                </c:pt>
                <c:pt idx="69">
                  <c:v>1.8853832236350482E-2</c:v>
                </c:pt>
                <c:pt idx="70">
                  <c:v>1.8813738105852768E-2</c:v>
                </c:pt>
                <c:pt idx="71">
                  <c:v>1.7429748119783622E-2</c:v>
                </c:pt>
                <c:pt idx="72">
                  <c:v>1.7429748119783622E-2</c:v>
                </c:pt>
                <c:pt idx="73">
                  <c:v>1.7429748119783622E-2</c:v>
                </c:pt>
                <c:pt idx="74">
                  <c:v>1.7196608175778422E-2</c:v>
                </c:pt>
                <c:pt idx="75">
                  <c:v>1.5534929211817733E-2</c:v>
                </c:pt>
                <c:pt idx="76">
                  <c:v>1.5243875523760275E-2</c:v>
                </c:pt>
                <c:pt idx="77">
                  <c:v>1.5243875523760275E-2</c:v>
                </c:pt>
                <c:pt idx="78">
                  <c:v>1.5190416683096647E-2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D8-4F44-8271-45783E656D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5262.5</c:v>
                </c:pt>
                <c:pt idx="2">
                  <c:v>5293.5</c:v>
                </c:pt>
                <c:pt idx="3">
                  <c:v>5564.5</c:v>
                </c:pt>
                <c:pt idx="4">
                  <c:v>5916.5</c:v>
                </c:pt>
                <c:pt idx="5">
                  <c:v>6496</c:v>
                </c:pt>
                <c:pt idx="6">
                  <c:v>6500.5</c:v>
                </c:pt>
                <c:pt idx="7">
                  <c:v>7033.5</c:v>
                </c:pt>
                <c:pt idx="8">
                  <c:v>7082.5</c:v>
                </c:pt>
                <c:pt idx="9">
                  <c:v>7275.5</c:v>
                </c:pt>
                <c:pt idx="10">
                  <c:v>7409.5</c:v>
                </c:pt>
                <c:pt idx="11">
                  <c:v>7420</c:v>
                </c:pt>
                <c:pt idx="12">
                  <c:v>7907</c:v>
                </c:pt>
                <c:pt idx="13">
                  <c:v>7908.5</c:v>
                </c:pt>
                <c:pt idx="14">
                  <c:v>9536</c:v>
                </c:pt>
                <c:pt idx="15">
                  <c:v>12532</c:v>
                </c:pt>
                <c:pt idx="16">
                  <c:v>12964</c:v>
                </c:pt>
                <c:pt idx="17">
                  <c:v>12974</c:v>
                </c:pt>
                <c:pt idx="18">
                  <c:v>13013</c:v>
                </c:pt>
                <c:pt idx="19">
                  <c:v>13023</c:v>
                </c:pt>
                <c:pt idx="20">
                  <c:v>14243</c:v>
                </c:pt>
                <c:pt idx="21">
                  <c:v>14606</c:v>
                </c:pt>
                <c:pt idx="22">
                  <c:v>14799</c:v>
                </c:pt>
                <c:pt idx="23">
                  <c:v>14843</c:v>
                </c:pt>
                <c:pt idx="24">
                  <c:v>14948</c:v>
                </c:pt>
                <c:pt idx="25">
                  <c:v>15049</c:v>
                </c:pt>
                <c:pt idx="26">
                  <c:v>15427</c:v>
                </c:pt>
                <c:pt idx="27">
                  <c:v>15447</c:v>
                </c:pt>
                <c:pt idx="28">
                  <c:v>15450</c:v>
                </c:pt>
                <c:pt idx="29">
                  <c:v>18428</c:v>
                </c:pt>
                <c:pt idx="30">
                  <c:v>18433</c:v>
                </c:pt>
                <c:pt idx="31">
                  <c:v>18436</c:v>
                </c:pt>
                <c:pt idx="32">
                  <c:v>36961</c:v>
                </c:pt>
                <c:pt idx="33">
                  <c:v>36984</c:v>
                </c:pt>
                <c:pt idx="34">
                  <c:v>37048</c:v>
                </c:pt>
                <c:pt idx="35">
                  <c:v>37056</c:v>
                </c:pt>
                <c:pt idx="36">
                  <c:v>38124</c:v>
                </c:pt>
                <c:pt idx="37">
                  <c:v>38186</c:v>
                </c:pt>
                <c:pt idx="38">
                  <c:v>39313</c:v>
                </c:pt>
                <c:pt idx="39">
                  <c:v>39874</c:v>
                </c:pt>
                <c:pt idx="40">
                  <c:v>41730</c:v>
                </c:pt>
                <c:pt idx="41">
                  <c:v>42981</c:v>
                </c:pt>
                <c:pt idx="42">
                  <c:v>43575</c:v>
                </c:pt>
                <c:pt idx="43">
                  <c:v>44212.5</c:v>
                </c:pt>
                <c:pt idx="44">
                  <c:v>45919</c:v>
                </c:pt>
                <c:pt idx="45">
                  <c:v>46052.5</c:v>
                </c:pt>
                <c:pt idx="46">
                  <c:v>47145</c:v>
                </c:pt>
                <c:pt idx="47">
                  <c:v>47160</c:v>
                </c:pt>
                <c:pt idx="48">
                  <c:v>48303.5</c:v>
                </c:pt>
                <c:pt idx="49">
                  <c:v>48478</c:v>
                </c:pt>
                <c:pt idx="50">
                  <c:v>48833</c:v>
                </c:pt>
                <c:pt idx="51">
                  <c:v>48856</c:v>
                </c:pt>
                <c:pt idx="52">
                  <c:v>48862.5</c:v>
                </c:pt>
                <c:pt idx="53">
                  <c:v>48874</c:v>
                </c:pt>
                <c:pt idx="54">
                  <c:v>49542.5</c:v>
                </c:pt>
                <c:pt idx="55">
                  <c:v>49584</c:v>
                </c:pt>
                <c:pt idx="56">
                  <c:v>49593.5</c:v>
                </c:pt>
                <c:pt idx="57">
                  <c:v>50022</c:v>
                </c:pt>
                <c:pt idx="58">
                  <c:v>50115</c:v>
                </c:pt>
                <c:pt idx="59">
                  <c:v>50123.5</c:v>
                </c:pt>
                <c:pt idx="60">
                  <c:v>50182</c:v>
                </c:pt>
                <c:pt idx="61">
                  <c:v>50648.5</c:v>
                </c:pt>
                <c:pt idx="62">
                  <c:v>50791</c:v>
                </c:pt>
                <c:pt idx="63">
                  <c:v>51345</c:v>
                </c:pt>
                <c:pt idx="64">
                  <c:v>51384</c:v>
                </c:pt>
                <c:pt idx="65">
                  <c:v>51889.5</c:v>
                </c:pt>
                <c:pt idx="66">
                  <c:v>51942</c:v>
                </c:pt>
                <c:pt idx="67">
                  <c:v>52459</c:v>
                </c:pt>
                <c:pt idx="68">
                  <c:v>52504.5</c:v>
                </c:pt>
                <c:pt idx="69">
                  <c:v>52512.5</c:v>
                </c:pt>
                <c:pt idx="70">
                  <c:v>52526</c:v>
                </c:pt>
                <c:pt idx="71">
                  <c:v>52992</c:v>
                </c:pt>
                <c:pt idx="72">
                  <c:v>52992</c:v>
                </c:pt>
                <c:pt idx="73">
                  <c:v>52992</c:v>
                </c:pt>
                <c:pt idx="74">
                  <c:v>53070.5</c:v>
                </c:pt>
                <c:pt idx="75">
                  <c:v>53630</c:v>
                </c:pt>
                <c:pt idx="76">
                  <c:v>53728</c:v>
                </c:pt>
                <c:pt idx="77">
                  <c:v>53728</c:v>
                </c:pt>
                <c:pt idx="78">
                  <c:v>53746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65">
                  <c:v>3.0385628495423589E-2</c:v>
                </c:pt>
                <c:pt idx="68">
                  <c:v>4.6526734950020909E-3</c:v>
                </c:pt>
                <c:pt idx="69">
                  <c:v>2.4168537493096665E-2</c:v>
                </c:pt>
                <c:pt idx="74">
                  <c:v>2.4650051498610992E-2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D8-4F44-8271-45783E65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375528"/>
        <c:axId val="1"/>
      </c:scatterChart>
      <c:valAx>
        <c:axId val="679375528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4999999999999998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37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2097264437689974"/>
          <c:w val="0.7612903225806451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Cas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190636509425255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39873.5</c:v>
                </c:pt>
                <c:pt idx="2">
                  <c:v>41729.5</c:v>
                </c:pt>
                <c:pt idx="3">
                  <c:v>42980.5</c:v>
                </c:pt>
                <c:pt idx="4">
                  <c:v>43574.5</c:v>
                </c:pt>
                <c:pt idx="5">
                  <c:v>45918.5</c:v>
                </c:pt>
                <c:pt idx="6">
                  <c:v>46052</c:v>
                </c:pt>
                <c:pt idx="7">
                  <c:v>48303</c:v>
                </c:pt>
                <c:pt idx="8">
                  <c:v>49583.5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7-4417-BDB1-3580744128D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(old)'!$D$22:$D$47</c:f>
                <c:numCache>
                  <c:formatCode>General</c:formatCode>
                  <c:ptCount val="26"/>
                  <c:pt idx="0">
                    <c:v>8.0000000000000004E-4</c:v>
                  </c:pt>
                  <c:pt idx="1">
                    <c:v>4.1999999999999997E-3</c:v>
                  </c:pt>
                  <c:pt idx="2">
                    <c:v>2E-3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39873.5</c:v>
                </c:pt>
                <c:pt idx="2">
                  <c:v>41729.5</c:v>
                </c:pt>
                <c:pt idx="3">
                  <c:v>42980.5</c:v>
                </c:pt>
                <c:pt idx="4">
                  <c:v>43574.5</c:v>
                </c:pt>
                <c:pt idx="5">
                  <c:v>45918.5</c:v>
                </c:pt>
                <c:pt idx="6">
                  <c:v>46052</c:v>
                </c:pt>
                <c:pt idx="7">
                  <c:v>48303</c:v>
                </c:pt>
                <c:pt idx="8">
                  <c:v>49583.5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-4.5120995004253928E-2</c:v>
                </c:pt>
                <c:pt idx="2">
                  <c:v>-6.3416515004064422E-2</c:v>
                </c:pt>
                <c:pt idx="3">
                  <c:v>-7.4434185000427533E-2</c:v>
                </c:pt>
                <c:pt idx="4">
                  <c:v>-8.1405165001342539E-2</c:v>
                </c:pt>
                <c:pt idx="5">
                  <c:v>-0.10542364499997348</c:v>
                </c:pt>
                <c:pt idx="6">
                  <c:v>-0.10418884000682738</c:v>
                </c:pt>
                <c:pt idx="8">
                  <c:v>-0.14602169500722084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37-4417-BDB1-3580744128D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8.0000000000000004E-4</c:v>
                  </c:pt>
                  <c:pt idx="2">
                    <c:v>4.1999999999999997E-3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5.0000000000000001E-4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8.0000000000000004E-4</c:v>
                  </c:pt>
                  <c:pt idx="2">
                    <c:v>4.1999999999999997E-3</c:v>
                  </c:pt>
                  <c:pt idx="3">
                    <c:v>2E-3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2.7000000000000001E-3</c:v>
                  </c:pt>
                  <c:pt idx="7">
                    <c:v>5.0000000000000001E-4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39873.5</c:v>
                </c:pt>
                <c:pt idx="2">
                  <c:v>41729.5</c:v>
                </c:pt>
                <c:pt idx="3">
                  <c:v>42980.5</c:v>
                </c:pt>
                <c:pt idx="4">
                  <c:v>43574.5</c:v>
                </c:pt>
                <c:pt idx="5">
                  <c:v>45918.5</c:v>
                </c:pt>
                <c:pt idx="6">
                  <c:v>46052</c:v>
                </c:pt>
                <c:pt idx="7">
                  <c:v>48303</c:v>
                </c:pt>
                <c:pt idx="8">
                  <c:v>49583.5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7">
                  <c:v>-0.13387651000812184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37-4417-BDB1-3580744128D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39873.5</c:v>
                </c:pt>
                <c:pt idx="2">
                  <c:v>41729.5</c:v>
                </c:pt>
                <c:pt idx="3">
                  <c:v>42980.5</c:v>
                </c:pt>
                <c:pt idx="4">
                  <c:v>43574.5</c:v>
                </c:pt>
                <c:pt idx="5">
                  <c:v>45918.5</c:v>
                </c:pt>
                <c:pt idx="6">
                  <c:v>46052</c:v>
                </c:pt>
                <c:pt idx="7">
                  <c:v>48303</c:v>
                </c:pt>
                <c:pt idx="8">
                  <c:v>49583.5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37-4417-BDB1-3580744128D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39873.5</c:v>
                </c:pt>
                <c:pt idx="2">
                  <c:v>41729.5</c:v>
                </c:pt>
                <c:pt idx="3">
                  <c:v>42980.5</c:v>
                </c:pt>
                <c:pt idx="4">
                  <c:v>43574.5</c:v>
                </c:pt>
                <c:pt idx="5">
                  <c:v>45918.5</c:v>
                </c:pt>
                <c:pt idx="6">
                  <c:v>46052</c:v>
                </c:pt>
                <c:pt idx="7">
                  <c:v>48303</c:v>
                </c:pt>
                <c:pt idx="8">
                  <c:v>49583.5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37-4417-BDB1-3580744128D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39873.5</c:v>
                </c:pt>
                <c:pt idx="2">
                  <c:v>41729.5</c:v>
                </c:pt>
                <c:pt idx="3">
                  <c:v>42980.5</c:v>
                </c:pt>
                <c:pt idx="4">
                  <c:v>43574.5</c:v>
                </c:pt>
                <c:pt idx="5">
                  <c:v>45918.5</c:v>
                </c:pt>
                <c:pt idx="6">
                  <c:v>46052</c:v>
                </c:pt>
                <c:pt idx="7">
                  <c:v>48303</c:v>
                </c:pt>
                <c:pt idx="8">
                  <c:v>49583.5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37-4417-BDB1-3580744128D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39873.5</c:v>
                </c:pt>
                <c:pt idx="2">
                  <c:v>41729.5</c:v>
                </c:pt>
                <c:pt idx="3">
                  <c:v>42980.5</c:v>
                </c:pt>
                <c:pt idx="4">
                  <c:v>43574.5</c:v>
                </c:pt>
                <c:pt idx="5">
                  <c:v>45918.5</c:v>
                </c:pt>
                <c:pt idx="6">
                  <c:v>46052</c:v>
                </c:pt>
                <c:pt idx="7">
                  <c:v>48303</c:v>
                </c:pt>
                <c:pt idx="8">
                  <c:v>49583.5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37-4417-BDB1-3580744128D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39873.5</c:v>
                </c:pt>
                <c:pt idx="2">
                  <c:v>41729.5</c:v>
                </c:pt>
                <c:pt idx="3">
                  <c:v>42980.5</c:v>
                </c:pt>
                <c:pt idx="4">
                  <c:v>43574.5</c:v>
                </c:pt>
                <c:pt idx="5">
                  <c:v>45918.5</c:v>
                </c:pt>
                <c:pt idx="6">
                  <c:v>46052</c:v>
                </c:pt>
                <c:pt idx="7">
                  <c:v>48303</c:v>
                </c:pt>
                <c:pt idx="8">
                  <c:v>49583.5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0">
                  <c:v>0.37392219645724412</c:v>
                </c:pt>
                <c:pt idx="1">
                  <c:v>-4.320230623039073E-2</c:v>
                </c:pt>
                <c:pt idx="2">
                  <c:v>-6.2618286191724715E-2</c:v>
                </c:pt>
                <c:pt idx="3">
                  <c:v>-7.5705242512645432E-2</c:v>
                </c:pt>
                <c:pt idx="4">
                  <c:v>-8.1919192995960288E-2</c:v>
                </c:pt>
                <c:pt idx="5">
                  <c:v>-0.1064402366540243</c:v>
                </c:pt>
                <c:pt idx="6">
                  <c:v>-0.10783680633335518</c:v>
                </c:pt>
                <c:pt idx="7">
                  <c:v>-0.13138495875413247</c:v>
                </c:pt>
                <c:pt idx="8">
                  <c:v>-0.144780520359999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37-4417-BDB1-358074412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687968"/>
        <c:axId val="1"/>
      </c:scatterChart>
      <c:valAx>
        <c:axId val="57268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68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962860256361331"/>
          <c:y val="0.92024539877300615"/>
          <c:w val="0.9111476897374905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504826</xdr:colOff>
      <xdr:row>0</xdr:row>
      <xdr:rowOff>57150</xdr:rowOff>
    </xdr:from>
    <xdr:to>
      <xdr:col>27</xdr:col>
      <xdr:colOff>47626</xdr:colOff>
      <xdr:row>17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FA055FB1-1026-E94E-5A26-9A61C7373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0</xdr:row>
      <xdr:rowOff>1</xdr:rowOff>
    </xdr:from>
    <xdr:to>
      <xdr:col>17</xdr:col>
      <xdr:colOff>295274</xdr:colOff>
      <xdr:row>17</xdr:row>
      <xdr:rowOff>66676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FF189767-9D31-77C9-48AB-A3194409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C02E029-338E-76C2-3D31-292F4731E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8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875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960" TargetMode="External"/><Relationship Id="rId32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12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255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</row>
    <row r="2" spans="1:6" s="15" customFormat="1" ht="12.95" customHeight="1">
      <c r="A2" s="15" t="s">
        <v>29</v>
      </c>
      <c r="B2" s="15" t="s">
        <v>34</v>
      </c>
    </row>
    <row r="3" spans="1:6" s="15" customFormat="1" ht="12.95" customHeight="1" thickBot="1">
      <c r="D3" s="45"/>
    </row>
    <row r="4" spans="1:6" s="15" customFormat="1" ht="12.95" customHeight="1" thickTop="1" thickBot="1">
      <c r="A4" s="25" t="s">
        <v>3</v>
      </c>
      <c r="C4" s="46">
        <v>25190.720000000001</v>
      </c>
      <c r="D4" s="47">
        <v>5.203265</v>
      </c>
    </row>
    <row r="5" spans="1:6" s="15" customFormat="1" ht="12.95" customHeight="1" thickTop="1">
      <c r="A5" s="48" t="s">
        <v>44</v>
      </c>
      <c r="C5" s="49">
        <v>-9.5</v>
      </c>
      <c r="D5" s="15" t="s">
        <v>45</v>
      </c>
    </row>
    <row r="6" spans="1:6" s="15" customFormat="1" ht="12.95" customHeight="1">
      <c r="A6" s="25" t="s">
        <v>4</v>
      </c>
    </row>
    <row r="7" spans="1:6" s="15" customFormat="1" ht="12.95" customHeight="1">
      <c r="A7" s="15" t="s">
        <v>5</v>
      </c>
      <c r="C7" s="15">
        <f>+C4</f>
        <v>25190.720000000001</v>
      </c>
    </row>
    <row r="8" spans="1:6" s="15" customFormat="1" ht="12.95" customHeight="1">
      <c r="A8" s="15" t="s">
        <v>6</v>
      </c>
      <c r="C8" s="50">
        <v>0.61144551700000005</v>
      </c>
      <c r="D8" s="15" t="s">
        <v>41</v>
      </c>
      <c r="E8" s="15" t="s">
        <v>42</v>
      </c>
    </row>
    <row r="9" spans="1:6" s="15" customFormat="1" ht="12.95" customHeight="1">
      <c r="A9" s="51" t="s">
        <v>54</v>
      </c>
      <c r="B9" s="52">
        <v>75</v>
      </c>
      <c r="C9" s="53" t="str">
        <f>"F"&amp;B9</f>
        <v>F75</v>
      </c>
      <c r="D9" s="54" t="str">
        <f>"G"&amp;B9</f>
        <v>G75</v>
      </c>
    </row>
    <row r="10" spans="1:6" s="15" customFormat="1" ht="12.95" customHeight="1" thickBot="1">
      <c r="C10" s="55" t="s">
        <v>24</v>
      </c>
      <c r="D10" s="55" t="s">
        <v>25</v>
      </c>
    </row>
    <row r="11" spans="1:6" s="15" customFormat="1" ht="12.95" customHeight="1">
      <c r="A11" s="15" t="s">
        <v>19</v>
      </c>
      <c r="C11" s="54">
        <f ca="1">INTERCEPT(INDIRECT($D$9):G991,INDIRECT($C$9):F991)</f>
        <v>0.17481257503346598</v>
      </c>
      <c r="D11" s="56"/>
    </row>
    <row r="12" spans="1:6" s="15" customFormat="1" ht="12.95" customHeight="1">
      <c r="A12" s="15" t="s">
        <v>20</v>
      </c>
      <c r="C12" s="54">
        <f ca="1">SLOPE(INDIRECT($D$9):G991,INDIRECT($C$9):F991)</f>
        <v>-2.9699355924230515E-6</v>
      </c>
      <c r="D12" s="56"/>
    </row>
    <row r="13" spans="1:6" s="15" customFormat="1" ht="12.95" customHeight="1">
      <c r="A13" s="15" t="s">
        <v>23</v>
      </c>
      <c r="C13" s="56" t="s">
        <v>17</v>
      </c>
    </row>
    <row r="14" spans="1:6" s="15" customFormat="1" ht="12.95" customHeight="1"/>
    <row r="15" spans="1:6" s="15" customFormat="1" ht="12.95" customHeight="1">
      <c r="A15" s="57" t="s">
        <v>21</v>
      </c>
      <c r="C15" s="58">
        <f ca="1">(C7+C11)+(C8+C12)*INT(MAX(F21:F3532))</f>
        <v>58053.485947098685</v>
      </c>
      <c r="E15" s="59" t="s">
        <v>56</v>
      </c>
      <c r="F15" s="49">
        <v>1</v>
      </c>
    </row>
    <row r="16" spans="1:6" s="15" customFormat="1" ht="12.95" customHeight="1">
      <c r="A16" s="25" t="s">
        <v>7</v>
      </c>
      <c r="C16" s="60">
        <f ca="1">+C8+C12</f>
        <v>0.61144254706440759</v>
      </c>
      <c r="E16" s="59" t="s">
        <v>46</v>
      </c>
      <c r="F16" s="61">
        <f ca="1">NOW()+15018.5+$C$5/24</f>
        <v>60328.725162962961</v>
      </c>
    </row>
    <row r="17" spans="1:21" s="15" customFormat="1" ht="12.95" customHeight="1" thickBot="1">
      <c r="A17" s="59" t="s">
        <v>43</v>
      </c>
      <c r="C17" s="15">
        <f>COUNT(C21:C2190)</f>
        <v>79</v>
      </c>
      <c r="E17" s="59" t="s">
        <v>57</v>
      </c>
      <c r="F17" s="61">
        <f ca="1">ROUND(2*(F16-$C$7)/$C$8,0)/2+F15</f>
        <v>57468</v>
      </c>
    </row>
    <row r="18" spans="1:21" s="15" customFormat="1" ht="12.95" customHeight="1" thickTop="1" thickBot="1">
      <c r="A18" s="25" t="s">
        <v>8</v>
      </c>
      <c r="C18" s="62">
        <f ca="1">+C15</f>
        <v>58053.485947098685</v>
      </c>
      <c r="D18" s="63">
        <f ca="1">+C16</f>
        <v>0.61144254706440759</v>
      </c>
      <c r="E18" s="59" t="s">
        <v>47</v>
      </c>
      <c r="F18" s="54">
        <f ca="1">ROUND(2*(F16-$C$15)/$C$16,0)/2+F15</f>
        <v>3722</v>
      </c>
    </row>
    <row r="19" spans="1:21" s="15" customFormat="1" ht="12.95" customHeight="1" thickTop="1">
      <c r="E19" s="59" t="s">
        <v>48</v>
      </c>
      <c r="F19" s="64">
        <f ca="1">+$C$15+$C$16*F18-15018.5-$C$5/24</f>
        <v>45311.170940605749</v>
      </c>
    </row>
    <row r="20" spans="1:21" s="15" customFormat="1" ht="12.95" customHeight="1" thickBot="1">
      <c r="A20" s="55" t="s">
        <v>9</v>
      </c>
      <c r="B20" s="55" t="s">
        <v>10</v>
      </c>
      <c r="C20" s="55" t="s">
        <v>11</v>
      </c>
      <c r="D20" s="55" t="s">
        <v>16</v>
      </c>
      <c r="E20" s="55" t="s">
        <v>12</v>
      </c>
      <c r="F20" s="55" t="s">
        <v>13</v>
      </c>
      <c r="G20" s="55" t="s">
        <v>14</v>
      </c>
      <c r="H20" s="65" t="s">
        <v>74</v>
      </c>
      <c r="I20" s="65" t="s">
        <v>77</v>
      </c>
      <c r="J20" s="65" t="s">
        <v>71</v>
      </c>
      <c r="K20" s="65" t="s">
        <v>69</v>
      </c>
      <c r="L20" s="65" t="s">
        <v>30</v>
      </c>
      <c r="M20" s="65" t="s">
        <v>31</v>
      </c>
      <c r="N20" s="65" t="s">
        <v>32</v>
      </c>
      <c r="O20" s="65" t="s">
        <v>27</v>
      </c>
      <c r="P20" s="66" t="s">
        <v>26</v>
      </c>
      <c r="Q20" s="55" t="s">
        <v>18</v>
      </c>
      <c r="U20" s="67" t="s">
        <v>2</v>
      </c>
    </row>
    <row r="21" spans="1:21" s="15" customFormat="1" ht="12.95" customHeight="1">
      <c r="A21" s="15" t="s">
        <v>15</v>
      </c>
      <c r="C21" s="68">
        <v>25190.720000000001</v>
      </c>
      <c r="D21" s="68" t="s">
        <v>17</v>
      </c>
      <c r="E21" s="15">
        <f t="shared" ref="E21:E52" si="0">+(C21-C$7)/C$8</f>
        <v>0</v>
      </c>
      <c r="F21" s="15">
        <f t="shared" ref="F21:F52" si="1">ROUND(2*E21,0)/2</f>
        <v>0</v>
      </c>
      <c r="H21" s="15">
        <v>0</v>
      </c>
      <c r="O21" s="15">
        <f t="shared" ref="O21:O52" ca="1" si="2">+C$11+C$12*F21</f>
        <v>0.17481257503346598</v>
      </c>
      <c r="Q21" s="69">
        <f t="shared" ref="Q21:Q52" si="3">+C21-15018.5</f>
        <v>10172.220000000001</v>
      </c>
    </row>
    <row r="22" spans="1:21" s="15" customFormat="1" ht="12.95" customHeight="1">
      <c r="A22" s="70" t="s">
        <v>85</v>
      </c>
      <c r="B22" s="71" t="s">
        <v>36</v>
      </c>
      <c r="C22" s="70">
        <v>28408.584999999999</v>
      </c>
      <c r="D22" s="70" t="s">
        <v>77</v>
      </c>
      <c r="E22" s="15">
        <f t="shared" si="0"/>
        <v>5262.7174630180461</v>
      </c>
      <c r="F22" s="15">
        <f t="shared" si="1"/>
        <v>5262.5</v>
      </c>
      <c r="G22" s="15">
        <f t="shared" ref="G22:G53" si="4">+C22-(C$7+F22*C$8)</f>
        <v>0.13296678749611601</v>
      </c>
      <c r="H22" s="15">
        <f t="shared" ref="H22:H52" si="5">+G22</f>
        <v>0.13296678749611601</v>
      </c>
      <c r="O22" s="15">
        <f t="shared" ca="1" si="2"/>
        <v>0.15918328897833967</v>
      </c>
      <c r="Q22" s="69">
        <f t="shared" si="3"/>
        <v>13390.084999999999</v>
      </c>
    </row>
    <row r="23" spans="1:21" s="15" customFormat="1" ht="12.95" customHeight="1">
      <c r="A23" s="70" t="s">
        <v>85</v>
      </c>
      <c r="B23" s="71" t="s">
        <v>36</v>
      </c>
      <c r="C23" s="70">
        <v>28427.519</v>
      </c>
      <c r="D23" s="70" t="s">
        <v>77</v>
      </c>
      <c r="E23" s="15">
        <f t="shared" si="0"/>
        <v>5293.6834272349388</v>
      </c>
      <c r="F23" s="15">
        <f t="shared" si="1"/>
        <v>5293.5</v>
      </c>
      <c r="G23" s="15">
        <f t="shared" si="4"/>
        <v>0.11215576050017262</v>
      </c>
      <c r="H23" s="15">
        <f t="shared" si="5"/>
        <v>0.11215576050017262</v>
      </c>
      <c r="O23" s="15">
        <f t="shared" ca="1" si="2"/>
        <v>0.15909122097497455</v>
      </c>
      <c r="Q23" s="69">
        <f t="shared" si="3"/>
        <v>13409.019</v>
      </c>
    </row>
    <row r="24" spans="1:21" s="15" customFormat="1" ht="12.95" customHeight="1">
      <c r="A24" s="70" t="s">
        <v>85</v>
      </c>
      <c r="B24" s="71" t="s">
        <v>36</v>
      </c>
      <c r="C24" s="70">
        <v>28593.207999999999</v>
      </c>
      <c r="D24" s="70" t="s">
        <v>77</v>
      </c>
      <c r="E24" s="15">
        <f t="shared" si="0"/>
        <v>5564.6625993661464</v>
      </c>
      <c r="F24" s="15">
        <f t="shared" si="1"/>
        <v>5564.5</v>
      </c>
      <c r="G24" s="15">
        <f t="shared" si="4"/>
        <v>9.9420653496054001E-2</v>
      </c>
      <c r="H24" s="15">
        <f t="shared" si="5"/>
        <v>9.9420653496054001E-2</v>
      </c>
      <c r="O24" s="15">
        <f t="shared" ca="1" si="2"/>
        <v>0.15828636842942789</v>
      </c>
      <c r="Q24" s="69">
        <f t="shared" si="3"/>
        <v>13574.707999999999</v>
      </c>
    </row>
    <row r="25" spans="1:21" s="15" customFormat="1" ht="12.95" customHeight="1">
      <c r="A25" s="70" t="s">
        <v>85</v>
      </c>
      <c r="B25" s="71" t="s">
        <v>36</v>
      </c>
      <c r="C25" s="70">
        <v>28808.488000000001</v>
      </c>
      <c r="D25" s="70" t="s">
        <v>77</v>
      </c>
      <c r="E25" s="15">
        <f t="shared" si="0"/>
        <v>5916.7462994090438</v>
      </c>
      <c r="F25" s="15">
        <f t="shared" si="1"/>
        <v>5916.5</v>
      </c>
      <c r="G25" s="15">
        <f t="shared" si="4"/>
        <v>0.15059866950105061</v>
      </c>
      <c r="H25" s="15">
        <f t="shared" si="5"/>
        <v>0.15059866950105061</v>
      </c>
      <c r="O25" s="15">
        <f t="shared" ca="1" si="2"/>
        <v>0.157240951100895</v>
      </c>
      <c r="Q25" s="69">
        <f t="shared" si="3"/>
        <v>13789.988000000001</v>
      </c>
    </row>
    <row r="26" spans="1:21" s="15" customFormat="1" ht="12.95" customHeight="1">
      <c r="A26" s="70" t="s">
        <v>85</v>
      </c>
      <c r="B26" s="71" t="s">
        <v>36</v>
      </c>
      <c r="C26" s="70">
        <v>29162.52</v>
      </c>
      <c r="D26" s="70" t="s">
        <v>77</v>
      </c>
      <c r="E26" s="15">
        <f t="shared" si="0"/>
        <v>6495.7545514230978</v>
      </c>
      <c r="F26" s="15">
        <f t="shared" si="1"/>
        <v>6496</v>
      </c>
      <c r="G26" s="15">
        <f t="shared" si="4"/>
        <v>-0.15007843200146453</v>
      </c>
      <c r="H26" s="15">
        <f t="shared" si="5"/>
        <v>-0.15007843200146453</v>
      </c>
      <c r="O26" s="15">
        <f t="shared" ca="1" si="2"/>
        <v>0.15551987342508583</v>
      </c>
      <c r="Q26" s="69">
        <f t="shared" si="3"/>
        <v>14144.02</v>
      </c>
    </row>
    <row r="27" spans="1:21" s="15" customFormat="1" ht="12.95" customHeight="1">
      <c r="A27" s="70" t="s">
        <v>85</v>
      </c>
      <c r="B27" s="71" t="s">
        <v>36</v>
      </c>
      <c r="C27" s="70">
        <v>29165.506000000001</v>
      </c>
      <c r="D27" s="70" t="s">
        <v>77</v>
      </c>
      <c r="E27" s="15">
        <f t="shared" si="0"/>
        <v>6500.6380609378148</v>
      </c>
      <c r="F27" s="15">
        <f t="shared" si="1"/>
        <v>6500.5</v>
      </c>
      <c r="G27" s="15">
        <f t="shared" si="4"/>
        <v>8.4416741497989278E-2</v>
      </c>
      <c r="H27" s="15">
        <f t="shared" si="5"/>
        <v>8.4416741497989278E-2</v>
      </c>
      <c r="O27" s="15">
        <f t="shared" ca="1" si="2"/>
        <v>0.15550650871491994</v>
      </c>
      <c r="Q27" s="69">
        <f t="shared" si="3"/>
        <v>14147.006000000001</v>
      </c>
    </row>
    <row r="28" spans="1:21" s="15" customFormat="1" ht="12.95" customHeight="1">
      <c r="A28" s="70" t="s">
        <v>85</v>
      </c>
      <c r="B28" s="71" t="s">
        <v>36</v>
      </c>
      <c r="C28" s="70">
        <v>29491.424999999999</v>
      </c>
      <c r="D28" s="70" t="s">
        <v>77</v>
      </c>
      <c r="E28" s="15">
        <f t="shared" si="0"/>
        <v>7033.6683816098657</v>
      </c>
      <c r="F28" s="15">
        <f t="shared" si="1"/>
        <v>7033.5</v>
      </c>
      <c r="G28" s="15">
        <f t="shared" si="4"/>
        <v>0.10295618049713084</v>
      </c>
      <c r="H28" s="15">
        <f t="shared" si="5"/>
        <v>0.10295618049713084</v>
      </c>
      <c r="O28" s="15">
        <f t="shared" ca="1" si="2"/>
        <v>0.15392353304415846</v>
      </c>
      <c r="Q28" s="69">
        <f t="shared" si="3"/>
        <v>14472.924999999999</v>
      </c>
    </row>
    <row r="29" spans="1:21" s="15" customFormat="1" ht="12.95" customHeight="1">
      <c r="A29" s="70" t="s">
        <v>85</v>
      </c>
      <c r="B29" s="71" t="s">
        <v>36</v>
      </c>
      <c r="C29" s="70">
        <v>29521.405999999999</v>
      </c>
      <c r="D29" s="70" t="s">
        <v>77</v>
      </c>
      <c r="E29" s="15">
        <f t="shared" si="0"/>
        <v>7082.7013684687745</v>
      </c>
      <c r="F29" s="15">
        <f t="shared" si="1"/>
        <v>7082.5</v>
      </c>
      <c r="G29" s="15">
        <f t="shared" si="4"/>
        <v>0.12312584749815869</v>
      </c>
      <c r="H29" s="15">
        <f t="shared" si="5"/>
        <v>0.12312584749815869</v>
      </c>
      <c r="O29" s="15">
        <f t="shared" ca="1" si="2"/>
        <v>0.15377800620012971</v>
      </c>
      <c r="Q29" s="69">
        <f t="shared" si="3"/>
        <v>14502.905999999999</v>
      </c>
    </row>
    <row r="30" spans="1:21" s="15" customFormat="1" ht="12.95" customHeight="1">
      <c r="A30" s="70" t="s">
        <v>85</v>
      </c>
      <c r="B30" s="71" t="s">
        <v>36</v>
      </c>
      <c r="C30" s="70">
        <v>29639.312999999998</v>
      </c>
      <c r="D30" s="70" t="s">
        <v>77</v>
      </c>
      <c r="E30" s="15">
        <f t="shared" si="0"/>
        <v>7275.534575552374</v>
      </c>
      <c r="F30" s="15">
        <f t="shared" si="1"/>
        <v>7275.5</v>
      </c>
      <c r="G30" s="15">
        <f t="shared" si="4"/>
        <v>2.1141066496056737E-2</v>
      </c>
      <c r="H30" s="15">
        <f t="shared" si="5"/>
        <v>2.1141066496056737E-2</v>
      </c>
      <c r="O30" s="15">
        <f t="shared" ca="1" si="2"/>
        <v>0.15320480863079206</v>
      </c>
      <c r="Q30" s="69">
        <f t="shared" si="3"/>
        <v>14620.812999999998</v>
      </c>
    </row>
    <row r="31" spans="1:21" s="15" customFormat="1" ht="12.95" customHeight="1">
      <c r="A31" s="70" t="s">
        <v>85</v>
      </c>
      <c r="B31" s="71" t="s">
        <v>36</v>
      </c>
      <c r="C31" s="70">
        <v>29721.344000000001</v>
      </c>
      <c r="D31" s="70" t="s">
        <v>77</v>
      </c>
      <c r="E31" s="15">
        <f t="shared" si="0"/>
        <v>7409.693707836931</v>
      </c>
      <c r="F31" s="15">
        <f t="shared" si="1"/>
        <v>7409.5</v>
      </c>
      <c r="G31" s="15">
        <f t="shared" si="4"/>
        <v>0.11844178849787568</v>
      </c>
      <c r="H31" s="15">
        <f t="shared" si="5"/>
        <v>0.11844178849787568</v>
      </c>
      <c r="O31" s="15">
        <f t="shared" ca="1" si="2"/>
        <v>0.15280683726140737</v>
      </c>
      <c r="Q31" s="69">
        <f t="shared" si="3"/>
        <v>14702.844000000001</v>
      </c>
    </row>
    <row r="32" spans="1:21" s="15" customFormat="1" ht="12.95" customHeight="1">
      <c r="A32" s="70" t="s">
        <v>85</v>
      </c>
      <c r="B32" s="71" t="s">
        <v>36</v>
      </c>
      <c r="C32" s="70">
        <v>29727.521000000001</v>
      </c>
      <c r="D32" s="70" t="s">
        <v>77</v>
      </c>
      <c r="E32" s="15">
        <f t="shared" si="0"/>
        <v>7419.7959979482512</v>
      </c>
      <c r="F32" s="15">
        <f t="shared" si="1"/>
        <v>7420</v>
      </c>
      <c r="G32" s="15">
        <f t="shared" si="4"/>
        <v>-0.12473614000191446</v>
      </c>
      <c r="H32" s="15">
        <f t="shared" si="5"/>
        <v>-0.12473614000191446</v>
      </c>
      <c r="O32" s="15">
        <f t="shared" ca="1" si="2"/>
        <v>0.15277565293768694</v>
      </c>
      <c r="Q32" s="69">
        <f t="shared" si="3"/>
        <v>14709.021000000001</v>
      </c>
    </row>
    <row r="33" spans="1:17" s="15" customFormat="1" ht="12.95" customHeight="1">
      <c r="A33" s="70" t="s">
        <v>85</v>
      </c>
      <c r="B33" s="71" t="s">
        <v>36</v>
      </c>
      <c r="C33" s="70">
        <v>30025.271000000001</v>
      </c>
      <c r="D33" s="70" t="s">
        <v>77</v>
      </c>
      <c r="E33" s="15">
        <f t="shared" si="0"/>
        <v>7906.7568010315445</v>
      </c>
      <c r="F33" s="15">
        <f t="shared" si="1"/>
        <v>7907</v>
      </c>
      <c r="G33" s="15">
        <f t="shared" si="4"/>
        <v>-0.14870291900297161</v>
      </c>
      <c r="H33" s="15">
        <f t="shared" si="5"/>
        <v>-0.14870291900297161</v>
      </c>
      <c r="O33" s="15">
        <f t="shared" ca="1" si="2"/>
        <v>0.15132929430417691</v>
      </c>
      <c r="Q33" s="69">
        <f t="shared" si="3"/>
        <v>15006.771000000001</v>
      </c>
    </row>
    <row r="34" spans="1:17" s="15" customFormat="1" ht="12.95" customHeight="1">
      <c r="A34" s="70" t="s">
        <v>85</v>
      </c>
      <c r="B34" s="71" t="s">
        <v>36</v>
      </c>
      <c r="C34" s="70">
        <v>30026.431</v>
      </c>
      <c r="D34" s="70" t="s">
        <v>77</v>
      </c>
      <c r="E34" s="15">
        <f t="shared" si="0"/>
        <v>7908.6539447144214</v>
      </c>
      <c r="F34" s="15">
        <f t="shared" si="1"/>
        <v>7908.5</v>
      </c>
      <c r="G34" s="15">
        <f t="shared" si="4"/>
        <v>9.4128805500076851E-2</v>
      </c>
      <c r="H34" s="15">
        <f t="shared" si="5"/>
        <v>9.4128805500076851E-2</v>
      </c>
      <c r="O34" s="15">
        <f t="shared" ca="1" si="2"/>
        <v>0.15132483940078828</v>
      </c>
      <c r="Q34" s="69">
        <f t="shared" si="3"/>
        <v>15007.931</v>
      </c>
    </row>
    <row r="35" spans="1:17" s="15" customFormat="1" ht="12.95" customHeight="1">
      <c r="A35" s="70" t="s">
        <v>85</v>
      </c>
      <c r="B35" s="71" t="s">
        <v>36</v>
      </c>
      <c r="C35" s="70">
        <v>31021.331999999999</v>
      </c>
      <c r="D35" s="70" t="s">
        <v>77</v>
      </c>
      <c r="E35" s="15">
        <f t="shared" si="0"/>
        <v>9535.7833819885491</v>
      </c>
      <c r="F35" s="15">
        <f t="shared" si="1"/>
        <v>9536</v>
      </c>
      <c r="G35" s="15">
        <f t="shared" si="4"/>
        <v>-0.1324501120034256</v>
      </c>
      <c r="H35" s="15">
        <f t="shared" si="5"/>
        <v>-0.1324501120034256</v>
      </c>
      <c r="O35" s="15">
        <f t="shared" ca="1" si="2"/>
        <v>0.14649126922411976</v>
      </c>
      <c r="Q35" s="69">
        <f t="shared" si="3"/>
        <v>16002.831999999999</v>
      </c>
    </row>
    <row r="36" spans="1:17" s="15" customFormat="1" ht="12.95" customHeight="1">
      <c r="A36" s="70" t="s">
        <v>85</v>
      </c>
      <c r="B36" s="71" t="s">
        <v>36</v>
      </c>
      <c r="C36" s="70">
        <v>32853.235000000001</v>
      </c>
      <c r="D36" s="70" t="s">
        <v>77</v>
      </c>
      <c r="E36" s="15">
        <f t="shared" si="0"/>
        <v>12531.803385517338</v>
      </c>
      <c r="F36" s="15">
        <f t="shared" si="1"/>
        <v>12532</v>
      </c>
      <c r="G36" s="15">
        <f t="shared" si="4"/>
        <v>-0.12021904400171479</v>
      </c>
      <c r="H36" s="15">
        <f t="shared" si="5"/>
        <v>-0.12021904400171479</v>
      </c>
      <c r="O36" s="15">
        <f t="shared" ca="1" si="2"/>
        <v>0.13759334218922029</v>
      </c>
      <c r="Q36" s="69">
        <f t="shared" si="3"/>
        <v>17834.735000000001</v>
      </c>
    </row>
    <row r="37" spans="1:17" s="15" customFormat="1" ht="12.95" customHeight="1">
      <c r="A37" s="70" t="s">
        <v>85</v>
      </c>
      <c r="B37" s="71" t="s">
        <v>36</v>
      </c>
      <c r="C37" s="70">
        <v>33117.417999999998</v>
      </c>
      <c r="D37" s="70" t="s">
        <v>77</v>
      </c>
      <c r="E37" s="15">
        <f t="shared" si="0"/>
        <v>12963.866411011721</v>
      </c>
      <c r="F37" s="15">
        <f t="shared" si="1"/>
        <v>12964</v>
      </c>
      <c r="G37" s="15">
        <f t="shared" si="4"/>
        <v>-8.1682388001354411E-2</v>
      </c>
      <c r="H37" s="15">
        <f t="shared" si="5"/>
        <v>-8.1682388001354411E-2</v>
      </c>
      <c r="O37" s="15">
        <f t="shared" ca="1" si="2"/>
        <v>0.13631033001329354</v>
      </c>
      <c r="Q37" s="69">
        <f t="shared" si="3"/>
        <v>18098.917999999998</v>
      </c>
    </row>
    <row r="38" spans="1:17" s="15" customFormat="1" ht="12.95" customHeight="1">
      <c r="A38" s="70" t="s">
        <v>85</v>
      </c>
      <c r="B38" s="71" t="s">
        <v>36</v>
      </c>
      <c r="C38" s="70">
        <v>33123.527000000002</v>
      </c>
      <c r="D38" s="70" t="s">
        <v>77</v>
      </c>
      <c r="E38" s="15">
        <f t="shared" si="0"/>
        <v>12973.857489251983</v>
      </c>
      <c r="F38" s="15">
        <f t="shared" si="1"/>
        <v>12974</v>
      </c>
      <c r="G38" s="15">
        <f t="shared" si="4"/>
        <v>-8.7137558002723381E-2</v>
      </c>
      <c r="H38" s="15">
        <f t="shared" si="5"/>
        <v>-8.7137558002723381E-2</v>
      </c>
      <c r="O38" s="15">
        <f t="shared" ca="1" si="2"/>
        <v>0.13628063065736931</v>
      </c>
      <c r="Q38" s="69">
        <f t="shared" si="3"/>
        <v>18105.027000000002</v>
      </c>
    </row>
    <row r="39" spans="1:17" s="15" customFormat="1" ht="12.95" customHeight="1">
      <c r="A39" s="70" t="s">
        <v>85</v>
      </c>
      <c r="B39" s="71" t="s">
        <v>36</v>
      </c>
      <c r="C39" s="70">
        <v>33147.366999999998</v>
      </c>
      <c r="D39" s="70" t="s">
        <v>77</v>
      </c>
      <c r="E39" s="15">
        <f t="shared" si="0"/>
        <v>13012.847062872483</v>
      </c>
      <c r="F39" s="15">
        <f t="shared" si="1"/>
        <v>13013</v>
      </c>
      <c r="G39" s="15">
        <f t="shared" si="4"/>
        <v>-9.3512721003207844E-2</v>
      </c>
      <c r="H39" s="15">
        <f t="shared" si="5"/>
        <v>-9.3512721003207844E-2</v>
      </c>
      <c r="O39" s="15">
        <f t="shared" ca="1" si="2"/>
        <v>0.13616480316926483</v>
      </c>
      <c r="Q39" s="69">
        <f t="shared" si="3"/>
        <v>18128.866999999998</v>
      </c>
    </row>
    <row r="40" spans="1:17" s="15" customFormat="1" ht="12.95" customHeight="1">
      <c r="A40" s="70" t="s">
        <v>85</v>
      </c>
      <c r="B40" s="71" t="s">
        <v>36</v>
      </c>
      <c r="C40" s="70">
        <v>33153.449999999997</v>
      </c>
      <c r="D40" s="70" t="s">
        <v>77</v>
      </c>
      <c r="E40" s="15">
        <f t="shared" si="0"/>
        <v>13022.795618926739</v>
      </c>
      <c r="F40" s="15">
        <f t="shared" si="1"/>
        <v>13023</v>
      </c>
      <c r="G40" s="15">
        <f t="shared" si="4"/>
        <v>-0.12496789100259775</v>
      </c>
      <c r="H40" s="15">
        <f t="shared" si="5"/>
        <v>-0.12496789100259775</v>
      </c>
      <c r="O40" s="15">
        <f t="shared" ca="1" si="2"/>
        <v>0.13613510381334057</v>
      </c>
      <c r="Q40" s="69">
        <f t="shared" si="3"/>
        <v>18134.949999999997</v>
      </c>
    </row>
    <row r="41" spans="1:17" s="15" customFormat="1" ht="12.95" customHeight="1">
      <c r="A41" s="70" t="s">
        <v>85</v>
      </c>
      <c r="B41" s="71" t="s">
        <v>36</v>
      </c>
      <c r="C41" s="70">
        <v>33899.451000000001</v>
      </c>
      <c r="D41" s="70" t="s">
        <v>77</v>
      </c>
      <c r="E41" s="15">
        <f t="shared" si="0"/>
        <v>14242.856898728392</v>
      </c>
      <c r="F41" s="15">
        <f t="shared" si="1"/>
        <v>14243</v>
      </c>
      <c r="G41" s="15">
        <f t="shared" si="4"/>
        <v>-8.7498631000926252E-2</v>
      </c>
      <c r="H41" s="15">
        <f t="shared" si="5"/>
        <v>-8.7498631000926252E-2</v>
      </c>
      <c r="O41" s="15">
        <f t="shared" ca="1" si="2"/>
        <v>0.13251178239058445</v>
      </c>
      <c r="Q41" s="69">
        <f t="shared" si="3"/>
        <v>18880.951000000001</v>
      </c>
    </row>
    <row r="42" spans="1:17" s="15" customFormat="1" ht="12.95" customHeight="1">
      <c r="A42" s="70" t="s">
        <v>85</v>
      </c>
      <c r="B42" s="71" t="s">
        <v>36</v>
      </c>
      <c r="C42" s="70">
        <v>34121.387999999999</v>
      </c>
      <c r="D42" s="70" t="s">
        <v>77</v>
      </c>
      <c r="E42" s="15">
        <f t="shared" si="0"/>
        <v>14605.827913854828</v>
      </c>
      <c r="F42" s="15">
        <f t="shared" si="1"/>
        <v>14606</v>
      </c>
      <c r="G42" s="15">
        <f t="shared" si="4"/>
        <v>-0.10522130200115498</v>
      </c>
      <c r="H42" s="15">
        <f t="shared" si="5"/>
        <v>-0.10522130200115498</v>
      </c>
      <c r="O42" s="15">
        <f t="shared" ca="1" si="2"/>
        <v>0.13143369577053488</v>
      </c>
      <c r="Q42" s="69">
        <f t="shared" si="3"/>
        <v>19102.887999999999</v>
      </c>
    </row>
    <row r="43" spans="1:17" s="15" customFormat="1" ht="12.95" customHeight="1">
      <c r="A43" s="70" t="s">
        <v>85</v>
      </c>
      <c r="B43" s="71" t="s">
        <v>36</v>
      </c>
      <c r="C43" s="70">
        <v>34239.408000000003</v>
      </c>
      <c r="D43" s="70" t="s">
        <v>77</v>
      </c>
      <c r="E43" s="15">
        <f t="shared" si="0"/>
        <v>14798.845928900646</v>
      </c>
      <c r="F43" s="15">
        <f t="shared" si="1"/>
        <v>14799</v>
      </c>
      <c r="G43" s="15">
        <f t="shared" si="4"/>
        <v>-9.42060829984257E-2</v>
      </c>
      <c r="H43" s="15">
        <f t="shared" si="5"/>
        <v>-9.42060829984257E-2</v>
      </c>
      <c r="O43" s="15">
        <f t="shared" ca="1" si="2"/>
        <v>0.13086049820119725</v>
      </c>
      <c r="Q43" s="69">
        <f t="shared" si="3"/>
        <v>19220.908000000003</v>
      </c>
    </row>
    <row r="44" spans="1:17" s="15" customFormat="1" ht="12.95" customHeight="1">
      <c r="A44" s="70" t="s">
        <v>85</v>
      </c>
      <c r="B44" s="71" t="s">
        <v>36</v>
      </c>
      <c r="C44" s="70">
        <v>34266.292000000001</v>
      </c>
      <c r="D44" s="70" t="s">
        <v>77</v>
      </c>
      <c r="E44" s="15">
        <f t="shared" si="0"/>
        <v>14842.81386922001</v>
      </c>
      <c r="F44" s="15">
        <f t="shared" si="1"/>
        <v>14843</v>
      </c>
      <c r="G44" s="15">
        <f t="shared" si="4"/>
        <v>-0.11380883099627681</v>
      </c>
      <c r="H44" s="15">
        <f t="shared" si="5"/>
        <v>-0.11380883099627681</v>
      </c>
      <c r="O44" s="15">
        <f t="shared" ca="1" si="2"/>
        <v>0.13072982103513062</v>
      </c>
      <c r="Q44" s="69">
        <f t="shared" si="3"/>
        <v>19247.792000000001</v>
      </c>
    </row>
    <row r="45" spans="1:17" s="15" customFormat="1" ht="12.95" customHeight="1">
      <c r="A45" s="70" t="s">
        <v>85</v>
      </c>
      <c r="B45" s="71" t="s">
        <v>36</v>
      </c>
      <c r="C45" s="70">
        <v>34330.483</v>
      </c>
      <c r="D45" s="70" t="s">
        <v>77</v>
      </c>
      <c r="E45" s="15">
        <f t="shared" si="0"/>
        <v>14947.796240036867</v>
      </c>
      <c r="F45" s="15">
        <f t="shared" si="1"/>
        <v>14948</v>
      </c>
      <c r="G45" s="15">
        <f t="shared" si="4"/>
        <v>-0.12458811599935871</v>
      </c>
      <c r="H45" s="15">
        <f t="shared" si="5"/>
        <v>-0.12458811599935871</v>
      </c>
      <c r="O45" s="15">
        <f t="shared" ca="1" si="2"/>
        <v>0.13041797779792619</v>
      </c>
      <c r="Q45" s="69">
        <f t="shared" si="3"/>
        <v>19311.983</v>
      </c>
    </row>
    <row r="46" spans="1:17" s="15" customFormat="1" ht="12.95" customHeight="1">
      <c r="A46" s="70" t="s">
        <v>156</v>
      </c>
      <c r="B46" s="71" t="s">
        <v>36</v>
      </c>
      <c r="C46" s="70">
        <v>34392.262999999999</v>
      </c>
      <c r="D46" s="70" t="s">
        <v>77</v>
      </c>
      <c r="E46" s="15">
        <f t="shared" si="0"/>
        <v>15048.835495836986</v>
      </c>
      <c r="F46" s="15">
        <f t="shared" si="1"/>
        <v>15049</v>
      </c>
      <c r="G46" s="15">
        <f t="shared" si="4"/>
        <v>-0.10058533300616546</v>
      </c>
      <c r="H46" s="15">
        <f t="shared" si="5"/>
        <v>-0.10058533300616546</v>
      </c>
      <c r="O46" s="15">
        <f t="shared" ca="1" si="2"/>
        <v>0.13011801430309147</v>
      </c>
      <c r="Q46" s="69">
        <f t="shared" si="3"/>
        <v>19373.762999999999</v>
      </c>
    </row>
    <row r="47" spans="1:17" s="15" customFormat="1" ht="12.95" customHeight="1">
      <c r="A47" s="70" t="s">
        <v>156</v>
      </c>
      <c r="B47" s="71" t="s">
        <v>36</v>
      </c>
      <c r="C47" s="70">
        <v>34623.391000000003</v>
      </c>
      <c r="D47" s="70" t="s">
        <v>77</v>
      </c>
      <c r="E47" s="15">
        <f t="shared" si="0"/>
        <v>15426.838103712847</v>
      </c>
      <c r="F47" s="15">
        <f t="shared" si="1"/>
        <v>15427</v>
      </c>
      <c r="G47" s="15">
        <f t="shared" si="4"/>
        <v>-9.8990758997388184E-2</v>
      </c>
      <c r="H47" s="15">
        <f t="shared" si="5"/>
        <v>-9.8990758997388184E-2</v>
      </c>
      <c r="O47" s="15">
        <f t="shared" ca="1" si="2"/>
        <v>0.12899537864915556</v>
      </c>
      <c r="Q47" s="69">
        <f t="shared" si="3"/>
        <v>19604.891000000003</v>
      </c>
    </row>
    <row r="48" spans="1:17" s="15" customFormat="1" ht="12.95" customHeight="1">
      <c r="A48" s="70" t="s">
        <v>156</v>
      </c>
      <c r="B48" s="71" t="s">
        <v>36</v>
      </c>
      <c r="C48" s="70">
        <v>34635.603999999999</v>
      </c>
      <c r="D48" s="70" t="s">
        <v>77</v>
      </c>
      <c r="E48" s="15">
        <f t="shared" si="0"/>
        <v>15446.812082849889</v>
      </c>
      <c r="F48" s="15">
        <f t="shared" si="1"/>
        <v>15447</v>
      </c>
      <c r="G48" s="15">
        <f t="shared" si="4"/>
        <v>-0.11490109900478274</v>
      </c>
      <c r="H48" s="15">
        <f t="shared" si="5"/>
        <v>-0.11490109900478274</v>
      </c>
      <c r="O48" s="15">
        <f t="shared" ca="1" si="2"/>
        <v>0.1289359799373071</v>
      </c>
      <c r="Q48" s="69">
        <f t="shared" si="3"/>
        <v>19617.103999999999</v>
      </c>
    </row>
    <row r="49" spans="1:17" s="15" customFormat="1" ht="12.95" customHeight="1">
      <c r="A49" s="70" t="s">
        <v>156</v>
      </c>
      <c r="B49" s="71" t="s">
        <v>36</v>
      </c>
      <c r="C49" s="70">
        <v>34637.485000000001</v>
      </c>
      <c r="D49" s="70" t="s">
        <v>77</v>
      </c>
      <c r="E49" s="15">
        <f t="shared" si="0"/>
        <v>15449.888399459798</v>
      </c>
      <c r="F49" s="15">
        <f t="shared" si="1"/>
        <v>15450</v>
      </c>
      <c r="G49" s="15">
        <f t="shared" si="4"/>
        <v>-6.8237650004448369E-2</v>
      </c>
      <c r="H49" s="15">
        <f t="shared" si="5"/>
        <v>-6.8237650004448369E-2</v>
      </c>
      <c r="O49" s="15">
        <f t="shared" ca="1" si="2"/>
        <v>0.12892707013052984</v>
      </c>
      <c r="Q49" s="69">
        <f t="shared" si="3"/>
        <v>19618.985000000001</v>
      </c>
    </row>
    <row r="50" spans="1:17" s="15" customFormat="1" ht="12.95" customHeight="1">
      <c r="A50" s="70" t="s">
        <v>156</v>
      </c>
      <c r="B50" s="71" t="s">
        <v>36</v>
      </c>
      <c r="C50" s="70">
        <v>36458.373</v>
      </c>
      <c r="D50" s="70" t="s">
        <v>77</v>
      </c>
      <c r="E50" s="15">
        <f t="shared" si="0"/>
        <v>18427.893715344711</v>
      </c>
      <c r="F50" s="15">
        <f t="shared" si="1"/>
        <v>18428</v>
      </c>
      <c r="G50" s="15">
        <f t="shared" si="4"/>
        <v>-6.4987276004103478E-2</v>
      </c>
      <c r="H50" s="15">
        <f t="shared" si="5"/>
        <v>-6.4987276004103478E-2</v>
      </c>
      <c r="O50" s="15">
        <f t="shared" ca="1" si="2"/>
        <v>0.12008260193629398</v>
      </c>
      <c r="Q50" s="69">
        <f t="shared" si="3"/>
        <v>21439.873</v>
      </c>
    </row>
    <row r="51" spans="1:17" s="15" customFormat="1" ht="12.95" customHeight="1">
      <c r="A51" s="70" t="s">
        <v>156</v>
      </c>
      <c r="B51" s="71" t="s">
        <v>36</v>
      </c>
      <c r="C51" s="70">
        <v>36461.423000000003</v>
      </c>
      <c r="D51" s="70" t="s">
        <v>77</v>
      </c>
      <c r="E51" s="15">
        <f t="shared" si="0"/>
        <v>18432.881894855727</v>
      </c>
      <c r="F51" s="15">
        <f t="shared" si="1"/>
        <v>18433</v>
      </c>
      <c r="G51" s="15">
        <f t="shared" si="4"/>
        <v>-7.2214861000247765E-2</v>
      </c>
      <c r="H51" s="15">
        <f t="shared" si="5"/>
        <v>-7.2214861000247765E-2</v>
      </c>
      <c r="O51" s="15">
        <f t="shared" ca="1" si="2"/>
        <v>0.12006775225833187</v>
      </c>
      <c r="Q51" s="69">
        <f t="shared" si="3"/>
        <v>21442.923000000003</v>
      </c>
    </row>
    <row r="52" spans="1:17" s="15" customFormat="1" ht="12.95" customHeight="1">
      <c r="A52" s="70" t="s">
        <v>156</v>
      </c>
      <c r="B52" s="71" t="s">
        <v>36</v>
      </c>
      <c r="C52" s="70">
        <v>36463.303</v>
      </c>
      <c r="D52" s="70" t="s">
        <v>77</v>
      </c>
      <c r="E52" s="15">
        <f t="shared" si="0"/>
        <v>18435.956575996937</v>
      </c>
      <c r="F52" s="15">
        <f t="shared" si="1"/>
        <v>18436</v>
      </c>
      <c r="G52" s="15">
        <f t="shared" si="4"/>
        <v>-2.6551412003755104E-2</v>
      </c>
      <c r="H52" s="15">
        <f t="shared" si="5"/>
        <v>-2.6551412003755104E-2</v>
      </c>
      <c r="O52" s="15">
        <f t="shared" ca="1" si="2"/>
        <v>0.1200588424515546</v>
      </c>
      <c r="Q52" s="69">
        <f t="shared" si="3"/>
        <v>21444.803</v>
      </c>
    </row>
    <row r="53" spans="1:17" s="15" customFormat="1" ht="12.95" customHeight="1">
      <c r="A53" s="70" t="s">
        <v>177</v>
      </c>
      <c r="B53" s="71" t="s">
        <v>36</v>
      </c>
      <c r="C53" s="70">
        <v>47790.387000000002</v>
      </c>
      <c r="D53" s="70" t="s">
        <v>77</v>
      </c>
      <c r="E53" s="15">
        <f t="shared" ref="E53:E75" si="6">+(C53-C$7)/C$8</f>
        <v>36961.047831183954</v>
      </c>
      <c r="F53" s="15">
        <f t="shared" ref="F53:F75" si="7">ROUND(2*E53,0)/2</f>
        <v>36961</v>
      </c>
      <c r="G53" s="15">
        <f t="shared" si="4"/>
        <v>2.9246163001516834E-2</v>
      </c>
      <c r="I53" s="15">
        <f t="shared" ref="I53:I58" si="8">+G53</f>
        <v>2.9246163001516834E-2</v>
      </c>
      <c r="O53" s="15">
        <f t="shared" ref="O53:O75" ca="1" si="9">+C$11+C$12*F53</f>
        <v>6.5040785601917575E-2</v>
      </c>
      <c r="Q53" s="69">
        <f t="shared" ref="Q53:Q75" si="10">+C53-15018.5</f>
        <v>32771.887000000002</v>
      </c>
    </row>
    <row r="54" spans="1:17" s="15" customFormat="1" ht="12.95" customHeight="1">
      <c r="A54" s="70" t="s">
        <v>177</v>
      </c>
      <c r="B54" s="71" t="s">
        <v>36</v>
      </c>
      <c r="C54" s="70">
        <v>47804.447999999997</v>
      </c>
      <c r="D54" s="70" t="s">
        <v>77</v>
      </c>
      <c r="E54" s="15">
        <f t="shared" si="6"/>
        <v>36984.044156464057</v>
      </c>
      <c r="F54" s="15">
        <f t="shared" si="7"/>
        <v>36984</v>
      </c>
      <c r="G54" s="15">
        <f t="shared" ref="G54:G75" si="11">+C54-(C$7+F54*C$8)</f>
        <v>2.6999271991371643E-2</v>
      </c>
      <c r="I54" s="15">
        <f t="shared" si="8"/>
        <v>2.6999271991371643E-2</v>
      </c>
      <c r="O54" s="15">
        <f t="shared" ca="1" si="9"/>
        <v>6.4972477083291846E-2</v>
      </c>
      <c r="Q54" s="69">
        <f t="shared" si="10"/>
        <v>32785.947999999997</v>
      </c>
    </row>
    <row r="55" spans="1:17" s="15" customFormat="1" ht="12.95" customHeight="1">
      <c r="A55" s="70" t="s">
        <v>177</v>
      </c>
      <c r="B55" s="71" t="s">
        <v>36</v>
      </c>
      <c r="C55" s="70">
        <v>47843.59</v>
      </c>
      <c r="D55" s="70" t="s">
        <v>77</v>
      </c>
      <c r="E55" s="15">
        <f t="shared" si="6"/>
        <v>37048.059672011615</v>
      </c>
      <c r="F55" s="15">
        <f t="shared" si="7"/>
        <v>37048</v>
      </c>
      <c r="G55" s="15">
        <f t="shared" si="11"/>
        <v>3.6486183991655707E-2</v>
      </c>
      <c r="I55" s="15">
        <f t="shared" si="8"/>
        <v>3.6486183991655707E-2</v>
      </c>
      <c r="O55" s="15">
        <f t="shared" ca="1" si="9"/>
        <v>6.4782401205376761E-2</v>
      </c>
      <c r="Q55" s="69">
        <f t="shared" si="10"/>
        <v>32825.089999999997</v>
      </c>
    </row>
    <row r="56" spans="1:17" s="15" customFormat="1" ht="12.95" customHeight="1">
      <c r="A56" s="70" t="s">
        <v>177</v>
      </c>
      <c r="B56" s="71" t="s">
        <v>36</v>
      </c>
      <c r="C56" s="70">
        <v>47848.474999999999</v>
      </c>
      <c r="D56" s="70" t="s">
        <v>77</v>
      </c>
      <c r="E56" s="15">
        <f t="shared" si="6"/>
        <v>37056.048936572704</v>
      </c>
      <c r="F56" s="15">
        <f t="shared" si="7"/>
        <v>37056</v>
      </c>
      <c r="G56" s="15">
        <f t="shared" si="11"/>
        <v>2.9922047993750311E-2</v>
      </c>
      <c r="I56" s="15">
        <f t="shared" si="8"/>
        <v>2.9922047993750311E-2</v>
      </c>
      <c r="O56" s="15">
        <f t="shared" ca="1" si="9"/>
        <v>6.4758641720637375E-2</v>
      </c>
      <c r="Q56" s="69">
        <f t="shared" si="10"/>
        <v>32829.974999999999</v>
      </c>
    </row>
    <row r="57" spans="1:17" s="15" customFormat="1" ht="12.95" customHeight="1">
      <c r="A57" s="70" t="s">
        <v>190</v>
      </c>
      <c r="B57" s="71" t="s">
        <v>36</v>
      </c>
      <c r="C57" s="70">
        <v>48501.504999999997</v>
      </c>
      <c r="D57" s="70" t="s">
        <v>77</v>
      </c>
      <c r="E57" s="15">
        <f t="shared" si="6"/>
        <v>38124.059056597835</v>
      </c>
      <c r="F57" s="15">
        <f t="shared" si="7"/>
        <v>38124</v>
      </c>
      <c r="G57" s="15">
        <f t="shared" si="11"/>
        <v>3.610989198932657E-2</v>
      </c>
      <c r="I57" s="15">
        <f t="shared" si="8"/>
        <v>3.610989198932657E-2</v>
      </c>
      <c r="O57" s="15">
        <f t="shared" ca="1" si="9"/>
        <v>6.1586750507929555E-2</v>
      </c>
      <c r="Q57" s="69">
        <f t="shared" si="10"/>
        <v>33483.004999999997</v>
      </c>
    </row>
    <row r="58" spans="1:17" s="15" customFormat="1" ht="12.95" customHeight="1">
      <c r="A58" s="70" t="s">
        <v>190</v>
      </c>
      <c r="B58" s="71" t="s">
        <v>36</v>
      </c>
      <c r="C58" s="70">
        <v>48539.413</v>
      </c>
      <c r="D58" s="70" t="s">
        <v>77</v>
      </c>
      <c r="E58" s="15">
        <f t="shared" si="6"/>
        <v>38186.056403779301</v>
      </c>
      <c r="F58" s="15">
        <f t="shared" si="7"/>
        <v>38186</v>
      </c>
      <c r="G58" s="15">
        <f t="shared" si="11"/>
        <v>3.4487837998312898E-2</v>
      </c>
      <c r="I58" s="15">
        <f t="shared" si="8"/>
        <v>3.4487837998312898E-2</v>
      </c>
      <c r="O58" s="15">
        <f t="shared" ca="1" si="9"/>
        <v>6.1402614501199326E-2</v>
      </c>
      <c r="Q58" s="69">
        <f t="shared" si="10"/>
        <v>33520.913</v>
      </c>
    </row>
    <row r="59" spans="1:17" s="15" customFormat="1" ht="12.95" customHeight="1">
      <c r="A59" s="70" t="s">
        <v>200</v>
      </c>
      <c r="B59" s="71" t="s">
        <v>36</v>
      </c>
      <c r="C59" s="70">
        <v>49228.5164</v>
      </c>
      <c r="D59" s="70" t="s">
        <v>77</v>
      </c>
      <c r="E59" s="15">
        <f t="shared" si="6"/>
        <v>39313.063440123311</v>
      </c>
      <c r="F59" s="15">
        <f t="shared" si="7"/>
        <v>39313</v>
      </c>
      <c r="G59" s="15">
        <f t="shared" si="11"/>
        <v>3.8790179001807701E-2</v>
      </c>
      <c r="J59" s="15">
        <f>+G59</f>
        <v>3.8790179001807701E-2</v>
      </c>
      <c r="O59" s="15">
        <f t="shared" ca="1" si="9"/>
        <v>5.8055497088538549E-2</v>
      </c>
      <c r="Q59" s="69">
        <f t="shared" si="10"/>
        <v>34210.0164</v>
      </c>
    </row>
    <row r="60" spans="1:17" s="15" customFormat="1" ht="12.95" customHeight="1">
      <c r="A60" s="15" t="s">
        <v>37</v>
      </c>
      <c r="B60" s="72"/>
      <c r="C60" s="73">
        <v>49571.532599999999</v>
      </c>
      <c r="D60" s="73">
        <v>8.0000000000000004E-4</v>
      </c>
      <c r="E60" s="15">
        <f t="shared" si="6"/>
        <v>39874.055696118543</v>
      </c>
      <c r="F60" s="15">
        <f t="shared" si="7"/>
        <v>39874</v>
      </c>
      <c r="G60" s="15">
        <f t="shared" si="11"/>
        <v>3.4055141994031146E-2</v>
      </c>
      <c r="J60" s="15">
        <f>+G60</f>
        <v>3.4055141994031146E-2</v>
      </c>
      <c r="O60" s="15">
        <f t="shared" ca="1" si="9"/>
        <v>5.6389363221189218E-2</v>
      </c>
      <c r="Q60" s="69">
        <f t="shared" si="10"/>
        <v>34553.032599999999</v>
      </c>
    </row>
    <row r="61" spans="1:17" s="15" customFormat="1" ht="12.95" customHeight="1">
      <c r="A61" s="15" t="s">
        <v>37</v>
      </c>
      <c r="B61" s="72"/>
      <c r="C61" s="73">
        <v>50706.375099999997</v>
      </c>
      <c r="D61" s="73">
        <v>4.1999999999999997E-3</v>
      </c>
      <c r="E61" s="15">
        <f t="shared" si="6"/>
        <v>41730.055075373122</v>
      </c>
      <c r="F61" s="15">
        <f t="shared" si="7"/>
        <v>41730</v>
      </c>
      <c r="G61" s="15">
        <f t="shared" si="11"/>
        <v>3.3675589998892974E-2</v>
      </c>
      <c r="J61" s="15">
        <f>+G61</f>
        <v>3.3675589998892974E-2</v>
      </c>
      <c r="O61" s="15">
        <f t="shared" ca="1" si="9"/>
        <v>5.0877162761652037E-2</v>
      </c>
      <c r="Q61" s="69">
        <f t="shared" si="10"/>
        <v>35687.875099999997</v>
      </c>
    </row>
    <row r="62" spans="1:17" s="15" customFormat="1" ht="12.95" customHeight="1">
      <c r="A62" s="15" t="s">
        <v>37</v>
      </c>
      <c r="B62" s="72"/>
      <c r="C62" s="73">
        <v>51471.294500000004</v>
      </c>
      <c r="D62" s="73">
        <v>2E-3</v>
      </c>
      <c r="E62" s="15">
        <f t="shared" si="6"/>
        <v>42981.056806080072</v>
      </c>
      <c r="F62" s="15">
        <f t="shared" si="7"/>
        <v>42981</v>
      </c>
      <c r="G62" s="15">
        <f t="shared" si="11"/>
        <v>3.473382299853256E-2</v>
      </c>
      <c r="J62" s="15">
        <f>+G62</f>
        <v>3.473382299853256E-2</v>
      </c>
      <c r="O62" s="15">
        <f t="shared" ca="1" si="9"/>
        <v>4.7161773335530788E-2</v>
      </c>
      <c r="Q62" s="69">
        <f t="shared" si="10"/>
        <v>36452.794500000004</v>
      </c>
    </row>
    <row r="63" spans="1:17" s="15" customFormat="1" ht="12.95" customHeight="1">
      <c r="A63" s="15" t="s">
        <v>37</v>
      </c>
      <c r="B63" s="72"/>
      <c r="C63" s="73">
        <v>51834.491900000001</v>
      </c>
      <c r="D63" s="73">
        <v>2.9999999999999997E-4</v>
      </c>
      <c r="E63" s="15">
        <f t="shared" si="6"/>
        <v>43575.054782845022</v>
      </c>
      <c r="F63" s="15">
        <f t="shared" si="7"/>
        <v>43575</v>
      </c>
      <c r="G63" s="15">
        <f t="shared" si="11"/>
        <v>3.3496725001896266E-2</v>
      </c>
      <c r="J63" s="15">
        <f>+G63</f>
        <v>3.3496725001896266E-2</v>
      </c>
      <c r="O63" s="15">
        <f t="shared" ca="1" si="9"/>
        <v>4.5397631593631499E-2</v>
      </c>
      <c r="Q63" s="69">
        <f t="shared" si="10"/>
        <v>36815.991900000001</v>
      </c>
    </row>
    <row r="64" spans="1:17" s="15" customFormat="1" ht="12.95" customHeight="1">
      <c r="A64" s="70" t="s">
        <v>221</v>
      </c>
      <c r="B64" s="71" t="s">
        <v>50</v>
      </c>
      <c r="C64" s="70">
        <v>52224.2883</v>
      </c>
      <c r="D64" s="70" t="s">
        <v>77</v>
      </c>
      <c r="E64" s="15">
        <f t="shared" si="6"/>
        <v>44212.554591352084</v>
      </c>
      <c r="F64" s="15">
        <f t="shared" si="7"/>
        <v>44212.5</v>
      </c>
      <c r="G64" s="15">
        <f t="shared" si="11"/>
        <v>3.3379637498001102E-2</v>
      </c>
      <c r="K64" s="15">
        <f>+G64</f>
        <v>3.3379637498001102E-2</v>
      </c>
      <c r="O64" s="15">
        <f t="shared" ca="1" si="9"/>
        <v>4.350429765346181E-2</v>
      </c>
      <c r="Q64" s="69">
        <f t="shared" si="10"/>
        <v>37205.7883</v>
      </c>
    </row>
    <row r="65" spans="1:17" s="15" customFormat="1" ht="12.95" customHeight="1">
      <c r="A65" s="11" t="s">
        <v>35</v>
      </c>
      <c r="B65" s="12" t="s">
        <v>36</v>
      </c>
      <c r="C65" s="24">
        <v>53267.718800000002</v>
      </c>
      <c r="D65" s="11">
        <v>6.9999999999999999E-4</v>
      </c>
      <c r="E65" s="15">
        <f t="shared" si="6"/>
        <v>45919.052506521199</v>
      </c>
      <c r="F65" s="15">
        <f t="shared" si="7"/>
        <v>45919</v>
      </c>
      <c r="G65" s="15">
        <f t="shared" si="11"/>
        <v>3.2104876998346299E-2</v>
      </c>
      <c r="K65" s="15">
        <f>+G65</f>
        <v>3.2104876998346299E-2</v>
      </c>
      <c r="O65" s="15">
        <f t="shared" ca="1" si="9"/>
        <v>3.8436102564991886E-2</v>
      </c>
      <c r="Q65" s="69">
        <f t="shared" si="10"/>
        <v>38249.218800000002</v>
      </c>
    </row>
    <row r="66" spans="1:17" s="15" customFormat="1" ht="12.95" customHeight="1">
      <c r="A66" s="15" t="s">
        <v>39</v>
      </c>
      <c r="B66" s="74"/>
      <c r="C66" s="68">
        <v>53349.349300000002</v>
      </c>
      <c r="D66" s="68">
        <v>2.7000000000000001E-3</v>
      </c>
      <c r="E66" s="15">
        <f t="shared" si="6"/>
        <v>46052.556633594548</v>
      </c>
      <c r="F66" s="15">
        <f t="shared" si="7"/>
        <v>46052.5</v>
      </c>
      <c r="G66" s="15">
        <f t="shared" si="11"/>
        <v>3.4628357498149853E-2</v>
      </c>
      <c r="J66" s="15">
        <f>+G66</f>
        <v>3.4628357498149853E-2</v>
      </c>
      <c r="O66" s="15">
        <f t="shared" ca="1" si="9"/>
        <v>3.80396161634034E-2</v>
      </c>
      <c r="Q66" s="69">
        <f t="shared" si="10"/>
        <v>38330.849300000002</v>
      </c>
    </row>
    <row r="67" spans="1:17" s="15" customFormat="1" ht="12.95" customHeight="1">
      <c r="A67" s="75" t="s">
        <v>49</v>
      </c>
      <c r="B67" s="56" t="s">
        <v>50</v>
      </c>
      <c r="C67" s="68">
        <v>54017.349099999999</v>
      </c>
      <c r="D67" s="68">
        <v>5.9999999999999995E-4</v>
      </c>
      <c r="E67" s="15">
        <f t="shared" si="6"/>
        <v>47145.049392847206</v>
      </c>
      <c r="F67" s="15">
        <f t="shared" si="7"/>
        <v>47145</v>
      </c>
      <c r="G67" s="15">
        <f t="shared" si="11"/>
        <v>3.0201034991478082E-2</v>
      </c>
      <c r="J67" s="15">
        <f>+G67</f>
        <v>3.0201034991478082E-2</v>
      </c>
      <c r="O67" s="15">
        <f t="shared" ca="1" si="9"/>
        <v>3.4794961528681223E-2</v>
      </c>
      <c r="Q67" s="69">
        <f t="shared" si="10"/>
        <v>38998.849099999999</v>
      </c>
    </row>
    <row r="68" spans="1:17" s="15" customFormat="1" ht="12.95" customHeight="1">
      <c r="A68" s="76" t="s">
        <v>51</v>
      </c>
      <c r="B68" s="56" t="s">
        <v>50</v>
      </c>
      <c r="C68" s="68">
        <v>54026.520900000003</v>
      </c>
      <c r="D68" s="68">
        <v>2.9999999999999997E-4</v>
      </c>
      <c r="E68" s="15">
        <f t="shared" si="6"/>
        <v>47160.049584597742</v>
      </c>
      <c r="F68" s="15">
        <f t="shared" si="7"/>
        <v>47160</v>
      </c>
      <c r="G68" s="15">
        <f t="shared" si="11"/>
        <v>3.031827999802772E-2</v>
      </c>
      <c r="J68" s="15">
        <f>+G68</f>
        <v>3.031827999802772E-2</v>
      </c>
      <c r="O68" s="15">
        <f t="shared" ca="1" si="9"/>
        <v>3.475041249479488E-2</v>
      </c>
      <c r="Q68" s="69">
        <f t="shared" si="10"/>
        <v>39008.020900000003</v>
      </c>
    </row>
    <row r="69" spans="1:17" s="15" customFormat="1" ht="12.95" customHeight="1">
      <c r="A69" s="25" t="s">
        <v>55</v>
      </c>
      <c r="C69" s="68">
        <v>54725.705199999997</v>
      </c>
      <c r="D69" s="68">
        <v>5.0000000000000001E-4</v>
      </c>
      <c r="E69" s="15">
        <f t="shared" si="6"/>
        <v>48303.54361728028</v>
      </c>
      <c r="F69" s="15">
        <f t="shared" si="7"/>
        <v>48303.5</v>
      </c>
      <c r="G69" s="15">
        <f t="shared" si="11"/>
        <v>2.6669590493838768E-2</v>
      </c>
      <c r="K69" s="15">
        <f t="shared" ref="K69:K75" si="12">+G69</f>
        <v>2.6669590493838768E-2</v>
      </c>
      <c r="O69" s="15">
        <f t="shared" ca="1" si="9"/>
        <v>3.1354291144859103E-2</v>
      </c>
      <c r="Q69" s="69">
        <f t="shared" si="10"/>
        <v>39707.205199999997</v>
      </c>
    </row>
    <row r="70" spans="1:17" s="15" customFormat="1" ht="12.95" customHeight="1">
      <c r="A70" s="70" t="s">
        <v>254</v>
      </c>
      <c r="B70" s="71" t="s">
        <v>36</v>
      </c>
      <c r="C70" s="70">
        <v>54832.403100000003</v>
      </c>
      <c r="D70" s="70" t="s">
        <v>77</v>
      </c>
      <c r="E70" s="15">
        <f t="shared" si="6"/>
        <v>48478.044692246884</v>
      </c>
      <c r="F70" s="15">
        <f t="shared" si="7"/>
        <v>48478</v>
      </c>
      <c r="G70" s="15">
        <f t="shared" si="11"/>
        <v>2.7326873998390511E-2</v>
      </c>
      <c r="K70" s="15">
        <f t="shared" si="12"/>
        <v>2.7326873998390511E-2</v>
      </c>
      <c r="O70" s="15">
        <f t="shared" ca="1" si="9"/>
        <v>3.0836037383981274E-2</v>
      </c>
      <c r="Q70" s="69">
        <f t="shared" si="10"/>
        <v>39813.903100000003</v>
      </c>
    </row>
    <row r="71" spans="1:17" s="15" customFormat="1" ht="12.95" customHeight="1">
      <c r="A71" s="70" t="s">
        <v>259</v>
      </c>
      <c r="B71" s="71" t="s">
        <v>36</v>
      </c>
      <c r="C71" s="70">
        <v>55049.466099999998</v>
      </c>
      <c r="D71" s="70" t="s">
        <v>77</v>
      </c>
      <c r="E71" s="15">
        <f t="shared" si="6"/>
        <v>48833.044432967843</v>
      </c>
      <c r="F71" s="15">
        <f t="shared" si="7"/>
        <v>48833</v>
      </c>
      <c r="G71" s="15">
        <f t="shared" si="11"/>
        <v>2.7168338994670194E-2</v>
      </c>
      <c r="K71" s="15">
        <f t="shared" si="12"/>
        <v>2.7168338994670194E-2</v>
      </c>
      <c r="O71" s="15">
        <f t="shared" ca="1" si="9"/>
        <v>2.9781710248671101E-2</v>
      </c>
      <c r="Q71" s="69">
        <f t="shared" si="10"/>
        <v>40030.966099999998</v>
      </c>
    </row>
    <row r="72" spans="1:17" s="15" customFormat="1" ht="12.95" customHeight="1">
      <c r="A72" s="70" t="s">
        <v>259</v>
      </c>
      <c r="B72" s="71" t="s">
        <v>36</v>
      </c>
      <c r="C72" s="70">
        <v>55063.530500000001</v>
      </c>
      <c r="D72" s="70" t="s">
        <v>77</v>
      </c>
      <c r="E72" s="15">
        <f t="shared" si="6"/>
        <v>48856.046318841516</v>
      </c>
      <c r="F72" s="15">
        <f t="shared" si="7"/>
        <v>48856</v>
      </c>
      <c r="G72" s="15">
        <f t="shared" si="11"/>
        <v>2.8321447993221227E-2</v>
      </c>
      <c r="K72" s="15">
        <f t="shared" si="12"/>
        <v>2.8321447993221227E-2</v>
      </c>
      <c r="O72" s="15">
        <f t="shared" ca="1" si="9"/>
        <v>2.9713401730045386E-2</v>
      </c>
      <c r="Q72" s="69">
        <f t="shared" si="10"/>
        <v>40045.030500000001</v>
      </c>
    </row>
    <row r="73" spans="1:17" s="15" customFormat="1" ht="12.95" customHeight="1">
      <c r="A73" s="70" t="s">
        <v>259</v>
      </c>
      <c r="B73" s="71" t="s">
        <v>50</v>
      </c>
      <c r="C73" s="70">
        <v>55067.506999999998</v>
      </c>
      <c r="D73" s="70" t="s">
        <v>77</v>
      </c>
      <c r="E73" s="15">
        <f t="shared" si="6"/>
        <v>48862.54976009579</v>
      </c>
      <c r="F73" s="15">
        <f t="shared" si="7"/>
        <v>48862.5</v>
      </c>
      <c r="G73" s="15">
        <f t="shared" si="11"/>
        <v>3.0425587494391948E-2</v>
      </c>
      <c r="K73" s="15">
        <f t="shared" si="12"/>
        <v>3.0425587494391948E-2</v>
      </c>
      <c r="O73" s="15">
        <f t="shared" ca="1" si="9"/>
        <v>2.9694097148694615E-2</v>
      </c>
      <c r="Q73" s="69">
        <f t="shared" si="10"/>
        <v>40049.006999999998</v>
      </c>
    </row>
    <row r="74" spans="1:17" s="15" customFormat="1" ht="12.95" customHeight="1">
      <c r="A74" s="70" t="s">
        <v>259</v>
      </c>
      <c r="B74" s="71" t="s">
        <v>36</v>
      </c>
      <c r="C74" s="70">
        <v>55074.535799999998</v>
      </c>
      <c r="D74" s="70" t="s">
        <v>77</v>
      </c>
      <c r="E74" s="15">
        <f t="shared" si="6"/>
        <v>48874.04514243907</v>
      </c>
      <c r="F74" s="15">
        <f t="shared" si="7"/>
        <v>48874</v>
      </c>
      <c r="G74" s="15">
        <f t="shared" si="11"/>
        <v>2.7602141999523155E-2</v>
      </c>
      <c r="K74" s="15">
        <f t="shared" si="12"/>
        <v>2.7602141999523155E-2</v>
      </c>
      <c r="O74" s="15">
        <f t="shared" ca="1" si="9"/>
        <v>2.9659942889381757E-2</v>
      </c>
      <c r="Q74" s="69">
        <f t="shared" si="10"/>
        <v>40056.035799999998</v>
      </c>
    </row>
    <row r="75" spans="1:17" s="15" customFormat="1" ht="12.95" customHeight="1">
      <c r="A75" s="75" t="s">
        <v>59</v>
      </c>
      <c r="B75" s="31" t="s">
        <v>50</v>
      </c>
      <c r="C75" s="30">
        <v>55483.286330000003</v>
      </c>
      <c r="D75" s="30">
        <v>2.9999999999999997E-4</v>
      </c>
      <c r="E75" s="15">
        <f t="shared" si="6"/>
        <v>49542.543837147801</v>
      </c>
      <c r="F75" s="15">
        <f t="shared" si="7"/>
        <v>49542.5</v>
      </c>
      <c r="G75" s="15">
        <f t="shared" si="11"/>
        <v>2.680402749683708E-2</v>
      </c>
      <c r="K75" s="15">
        <f t="shared" si="12"/>
        <v>2.680402749683708E-2</v>
      </c>
      <c r="O75" s="15">
        <f t="shared" ca="1" si="9"/>
        <v>2.7674540945846954E-2</v>
      </c>
      <c r="Q75" s="69">
        <f t="shared" si="10"/>
        <v>40464.786330000003</v>
      </c>
    </row>
    <row r="76" spans="1:17" s="15" customFormat="1" ht="12.95" customHeight="1">
      <c r="A76" s="75" t="s">
        <v>58</v>
      </c>
      <c r="B76" s="31" t="s">
        <v>36</v>
      </c>
      <c r="C76" s="30">
        <v>55508.661399999997</v>
      </c>
      <c r="D76" s="30">
        <v>5.9999999999999995E-4</v>
      </c>
      <c r="E76" s="15">
        <f t="shared" ref="E76:E95" si="13">+(C76-C$7)/C$8</f>
        <v>49584.043969693528</v>
      </c>
      <c r="F76" s="15">
        <f t="shared" ref="F76:F97" si="14">ROUND(2*E76,0)/2</f>
        <v>49584</v>
      </c>
      <c r="G76" s="15">
        <f t="shared" ref="G76:G88" si="15">+C76-(C$7+F76*C$8)</f>
        <v>2.6885071994911414E-2</v>
      </c>
      <c r="J76" s="15">
        <f>+G76</f>
        <v>2.6885071994911414E-2</v>
      </c>
      <c r="O76" s="15">
        <f t="shared" ref="O76:O95" ca="1" si="16">+C$11+C$12*F76</f>
        <v>2.7551288618761383E-2</v>
      </c>
      <c r="Q76" s="69">
        <f t="shared" ref="Q76:Q95" si="17">+C76-15018.5</f>
        <v>40490.161399999997</v>
      </c>
    </row>
    <row r="77" spans="1:17" s="15" customFormat="1" ht="12.95" customHeight="1">
      <c r="A77" s="77" t="s">
        <v>64</v>
      </c>
      <c r="B77" s="77"/>
      <c r="C77" s="78">
        <v>55514.472399999999</v>
      </c>
      <c r="D77" s="78">
        <v>5.0000000000000001E-3</v>
      </c>
      <c r="E77" s="15">
        <f t="shared" si="13"/>
        <v>49593.547678263531</v>
      </c>
      <c r="F77" s="15">
        <f t="shared" si="14"/>
        <v>49593.5</v>
      </c>
      <c r="G77" s="15">
        <f t="shared" si="15"/>
        <v>2.9152660499676131E-2</v>
      </c>
      <c r="J77" s="15">
        <f>+G77</f>
        <v>2.9152660499676131E-2</v>
      </c>
      <c r="O77" s="15">
        <f t="shared" ca="1" si="16"/>
        <v>2.7523074230633382E-2</v>
      </c>
      <c r="Q77" s="69">
        <f t="shared" si="17"/>
        <v>40495.972399999999</v>
      </c>
    </row>
    <row r="78" spans="1:17" s="15" customFormat="1" ht="12.95" customHeight="1">
      <c r="A78" s="30" t="s">
        <v>60</v>
      </c>
      <c r="B78" s="31" t="s">
        <v>50</v>
      </c>
      <c r="C78" s="30">
        <v>55776.474099999999</v>
      </c>
      <c r="D78" s="30">
        <v>1.9E-3</v>
      </c>
      <c r="E78" s="15">
        <f t="shared" si="13"/>
        <v>50022.043255899764</v>
      </c>
      <c r="F78" s="15">
        <f t="shared" si="14"/>
        <v>50022</v>
      </c>
      <c r="G78" s="15">
        <f t="shared" si="15"/>
        <v>2.6448625991179142E-2</v>
      </c>
      <c r="J78" s="15">
        <f>+G78</f>
        <v>2.6448625991179142E-2</v>
      </c>
      <c r="O78" s="15">
        <f t="shared" ca="1" si="16"/>
        <v>2.6250456829280094E-2</v>
      </c>
      <c r="Q78" s="69">
        <f t="shared" si="17"/>
        <v>40757.974099999999</v>
      </c>
    </row>
    <row r="79" spans="1:17" s="15" customFormat="1" ht="12.95" customHeight="1">
      <c r="A79" s="75" t="s">
        <v>62</v>
      </c>
      <c r="B79" s="31" t="s">
        <v>36</v>
      </c>
      <c r="C79" s="30">
        <v>55833.335319999998</v>
      </c>
      <c r="D79" s="30">
        <v>2.0000000000000001E-4</v>
      </c>
      <c r="E79" s="15">
        <f t="shared" si="13"/>
        <v>50115.038001006382</v>
      </c>
      <c r="F79" s="15">
        <f t="shared" si="14"/>
        <v>50115</v>
      </c>
      <c r="G79" s="15">
        <f t="shared" si="15"/>
        <v>2.323554499889724E-2</v>
      </c>
      <c r="K79" s="15">
        <f>+G79</f>
        <v>2.323554499889724E-2</v>
      </c>
      <c r="O79" s="15">
        <f t="shared" ca="1" si="16"/>
        <v>2.5974252819184751E-2</v>
      </c>
      <c r="Q79" s="69">
        <f t="shared" si="17"/>
        <v>40814.835319999998</v>
      </c>
    </row>
    <row r="80" spans="1:17" s="15" customFormat="1" ht="12.95" customHeight="1">
      <c r="A80" s="70" t="s">
        <v>304</v>
      </c>
      <c r="B80" s="71" t="s">
        <v>50</v>
      </c>
      <c r="C80" s="70">
        <v>55838.538200000003</v>
      </c>
      <c r="D80" s="70" t="s">
        <v>77</v>
      </c>
      <c r="E80" s="15">
        <f t="shared" si="13"/>
        <v>50123.547148355326</v>
      </c>
      <c r="F80" s="15">
        <f t="shared" si="14"/>
        <v>50123.5</v>
      </c>
      <c r="G80" s="15">
        <f t="shared" si="15"/>
        <v>2.8828650501964148E-2</v>
      </c>
      <c r="K80" s="15">
        <f>+G80</f>
        <v>2.8828650501964148E-2</v>
      </c>
      <c r="O80" s="15">
        <f t="shared" ca="1" si="16"/>
        <v>2.5949008366649151E-2</v>
      </c>
      <c r="Q80" s="69">
        <f t="shared" si="17"/>
        <v>40820.038200000003</v>
      </c>
    </row>
    <row r="81" spans="1:21" s="15" customFormat="1" ht="12.95" customHeight="1">
      <c r="A81" s="70" t="s">
        <v>304</v>
      </c>
      <c r="B81" s="71" t="s">
        <v>36</v>
      </c>
      <c r="C81" s="70">
        <v>55874.305</v>
      </c>
      <c r="D81" s="70" t="s">
        <v>77</v>
      </c>
      <c r="E81" s="15">
        <f t="shared" si="13"/>
        <v>50182.042629973192</v>
      </c>
      <c r="F81" s="15">
        <f t="shared" si="14"/>
        <v>50182</v>
      </c>
      <c r="G81" s="15">
        <f t="shared" si="15"/>
        <v>2.6065905993164051E-2</v>
      </c>
      <c r="K81" s="15">
        <f>+G81</f>
        <v>2.6065905993164051E-2</v>
      </c>
      <c r="O81" s="15">
        <f t="shared" ca="1" si="16"/>
        <v>2.5775267134492408E-2</v>
      </c>
      <c r="Q81" s="69">
        <f t="shared" si="17"/>
        <v>40855.805</v>
      </c>
    </row>
    <row r="82" spans="1:21" s="15" customFormat="1" ht="12.95" customHeight="1">
      <c r="A82" s="75" t="s">
        <v>62</v>
      </c>
      <c r="B82" s="31" t="s">
        <v>50</v>
      </c>
      <c r="C82" s="30">
        <v>56159.541899999997</v>
      </c>
      <c r="D82" s="30">
        <v>1E-3</v>
      </c>
      <c r="E82" s="15">
        <f t="shared" si="13"/>
        <v>50648.538649764916</v>
      </c>
      <c r="F82" s="15">
        <f t="shared" si="14"/>
        <v>50648.5</v>
      </c>
      <c r="G82" s="15">
        <f t="shared" si="15"/>
        <v>2.3632225493201986E-2</v>
      </c>
      <c r="K82" s="15">
        <f>+G82</f>
        <v>2.3632225493201986E-2</v>
      </c>
      <c r="O82" s="15">
        <f t="shared" ca="1" si="16"/>
        <v>2.4389792180627062E-2</v>
      </c>
      <c r="Q82" s="69">
        <f t="shared" si="17"/>
        <v>41141.041899999997</v>
      </c>
    </row>
    <row r="83" spans="1:21" s="15" customFormat="1" ht="12.95" customHeight="1">
      <c r="A83" s="75" t="s">
        <v>61</v>
      </c>
      <c r="B83" s="31" t="s">
        <v>36</v>
      </c>
      <c r="C83" s="30">
        <v>56246.671199999997</v>
      </c>
      <c r="D83" s="30">
        <v>4.0000000000000002E-4</v>
      </c>
      <c r="E83" s="75">
        <f t="shared" si="13"/>
        <v>50791.035892082589</v>
      </c>
      <c r="F83" s="75">
        <f t="shared" si="14"/>
        <v>50791</v>
      </c>
      <c r="G83" s="15">
        <f t="shared" si="15"/>
        <v>2.1946052991552278E-2</v>
      </c>
      <c r="K83" s="15">
        <f>+G83</f>
        <v>2.1946052991552278E-2</v>
      </c>
      <c r="O83" s="15">
        <f t="shared" ca="1" si="16"/>
        <v>2.3966576358706776E-2</v>
      </c>
      <c r="Q83" s="69">
        <f t="shared" si="17"/>
        <v>41228.171199999997</v>
      </c>
    </row>
    <row r="84" spans="1:21" s="15" customFormat="1" ht="12.95" customHeight="1">
      <c r="A84" s="79" t="s">
        <v>63</v>
      </c>
      <c r="B84" s="80" t="s">
        <v>36</v>
      </c>
      <c r="C84" s="30">
        <v>56585.411999999997</v>
      </c>
      <c r="D84" s="81">
        <v>1.1999999999999999E-3</v>
      </c>
      <c r="E84" s="75">
        <f t="shared" si="13"/>
        <v>51345.035865231461</v>
      </c>
      <c r="F84" s="75">
        <f t="shared" si="14"/>
        <v>51345</v>
      </c>
      <c r="G84" s="15">
        <f t="shared" si="15"/>
        <v>2.1929634996922687E-2</v>
      </c>
      <c r="J84" s="15">
        <f>+G84</f>
        <v>2.1929634996922687E-2</v>
      </c>
      <c r="O84" s="15">
        <f t="shared" ca="1" si="16"/>
        <v>2.2321232040504402E-2</v>
      </c>
      <c r="Q84" s="69">
        <f t="shared" si="17"/>
        <v>41566.911999999997</v>
      </c>
    </row>
    <row r="85" spans="1:21" s="15" customFormat="1" ht="12.95" customHeight="1">
      <c r="A85" s="30" t="s">
        <v>66</v>
      </c>
      <c r="B85" s="31" t="s">
        <v>36</v>
      </c>
      <c r="C85" s="82">
        <v>56609.259339999997</v>
      </c>
      <c r="D85" s="30">
        <v>2.0000000000000001E-4</v>
      </c>
      <c r="E85" s="75">
        <f t="shared" si="13"/>
        <v>51384.037443192166</v>
      </c>
      <c r="F85" s="75">
        <f t="shared" si="14"/>
        <v>51384</v>
      </c>
      <c r="G85" s="15">
        <f t="shared" si="15"/>
        <v>2.2894471992913168E-2</v>
      </c>
      <c r="K85" s="15">
        <f>+G85</f>
        <v>2.2894471992913168E-2</v>
      </c>
      <c r="O85" s="15">
        <f t="shared" ca="1" si="16"/>
        <v>2.2205404552399888E-2</v>
      </c>
      <c r="Q85" s="69">
        <f t="shared" si="17"/>
        <v>41590.759339999997</v>
      </c>
    </row>
    <row r="86" spans="1:21" s="15" customFormat="1" ht="12.95" customHeight="1">
      <c r="A86" s="83" t="s">
        <v>328</v>
      </c>
      <c r="B86" s="84" t="s">
        <v>50</v>
      </c>
      <c r="C86" s="85">
        <v>56918.35254</v>
      </c>
      <c r="D86" s="85">
        <v>4.0000000000000002E-4</v>
      </c>
      <c r="E86" s="75">
        <f t="shared" si="13"/>
        <v>51889.549694744099</v>
      </c>
      <c r="F86" s="75">
        <f t="shared" si="14"/>
        <v>51889.5</v>
      </c>
      <c r="O86" s="15">
        <f t="shared" ca="1" si="16"/>
        <v>2.0704102110430056E-2</v>
      </c>
      <c r="Q86" s="69">
        <f t="shared" si="17"/>
        <v>41899.85254</v>
      </c>
      <c r="U86" s="15">
        <f>+C86-(C$7+F86*C$8)</f>
        <v>3.0385628495423589E-2</v>
      </c>
    </row>
    <row r="87" spans="1:21" s="15" customFormat="1" ht="12.95" customHeight="1">
      <c r="A87" s="81" t="s">
        <v>65</v>
      </c>
      <c r="B87" s="31"/>
      <c r="C87" s="81">
        <v>56950.444199999998</v>
      </c>
      <c r="D87" s="81">
        <v>2.8999999999999998E-3</v>
      </c>
      <c r="E87" s="75">
        <f t="shared" si="13"/>
        <v>51942.034599952742</v>
      </c>
      <c r="F87" s="75">
        <f t="shared" si="14"/>
        <v>51942</v>
      </c>
      <c r="G87" s="15">
        <f t="shared" si="15"/>
        <v>2.1155985989025794E-2</v>
      </c>
      <c r="J87" s="15">
        <f>+G87</f>
        <v>2.1155985989025794E-2</v>
      </c>
      <c r="O87" s="15">
        <f t="shared" ca="1" si="16"/>
        <v>2.0548180491827828E-2</v>
      </c>
      <c r="Q87" s="69">
        <f t="shared" si="17"/>
        <v>41931.944199999998</v>
      </c>
    </row>
    <row r="88" spans="1:21" s="15" customFormat="1" ht="12.95" customHeight="1">
      <c r="A88" s="86" t="s">
        <v>1</v>
      </c>
      <c r="B88" s="87" t="s">
        <v>36</v>
      </c>
      <c r="C88" s="88">
        <v>57266.559999999998</v>
      </c>
      <c r="D88" s="88">
        <v>1.2999999999999999E-3</v>
      </c>
      <c r="E88" s="75">
        <f t="shared" si="13"/>
        <v>52459.032093942056</v>
      </c>
      <c r="F88" s="75">
        <f t="shared" si="14"/>
        <v>52459</v>
      </c>
      <c r="G88" s="15">
        <f t="shared" si="15"/>
        <v>1.9623696993221529E-2</v>
      </c>
      <c r="K88" s="15">
        <f>+G88</f>
        <v>1.9623696993221529E-2</v>
      </c>
      <c r="O88" s="15">
        <f t="shared" ca="1" si="16"/>
        <v>1.9012723790545111E-2</v>
      </c>
      <c r="Q88" s="69">
        <f t="shared" si="17"/>
        <v>42248.06</v>
      </c>
    </row>
    <row r="89" spans="1:21" s="15" customFormat="1" ht="12.95" customHeight="1">
      <c r="A89" s="86" t="s">
        <v>1</v>
      </c>
      <c r="B89" s="87" t="s">
        <v>36</v>
      </c>
      <c r="C89" s="88">
        <v>57294.3658</v>
      </c>
      <c r="D89" s="88">
        <v>4.7999999999999996E-3</v>
      </c>
      <c r="E89" s="75">
        <f t="shared" si="13"/>
        <v>52504.507609301836</v>
      </c>
      <c r="F89" s="75">
        <f t="shared" si="14"/>
        <v>52504.5</v>
      </c>
      <c r="O89" s="15">
        <f t="shared" ca="1" si="16"/>
        <v>1.8877591721089881E-2</v>
      </c>
      <c r="Q89" s="69">
        <f t="shared" si="17"/>
        <v>42275.8658</v>
      </c>
      <c r="U89" s="15">
        <f>+C89-(C$7+F89*C$8)</f>
        <v>4.6526734950020909E-3</v>
      </c>
    </row>
    <row r="90" spans="1:21" s="15" customFormat="1" ht="12.95" customHeight="1">
      <c r="A90" s="83" t="s">
        <v>328</v>
      </c>
      <c r="B90" s="84" t="s">
        <v>50</v>
      </c>
      <c r="C90" s="85">
        <v>57299.276879999998</v>
      </c>
      <c r="D90" s="85">
        <v>8.0000000000000004E-4</v>
      </c>
      <c r="E90" s="75">
        <f t="shared" si="13"/>
        <v>52512.539526886409</v>
      </c>
      <c r="F90" s="75">
        <f t="shared" si="14"/>
        <v>52512.5</v>
      </c>
      <c r="O90" s="15">
        <f t="shared" ca="1" si="16"/>
        <v>1.8853832236350482E-2</v>
      </c>
      <c r="Q90" s="69">
        <f t="shared" si="17"/>
        <v>42280.776879999998</v>
      </c>
      <c r="U90" s="15">
        <f>+C90-(C$7+F90*C$8)</f>
        <v>2.4168537493096665E-2</v>
      </c>
    </row>
    <row r="91" spans="1:21" s="15" customFormat="1" ht="12.95" customHeight="1">
      <c r="A91" s="86" t="s">
        <v>1</v>
      </c>
      <c r="B91" s="87" t="s">
        <v>36</v>
      </c>
      <c r="C91" s="88">
        <v>57307.527199999997</v>
      </c>
      <c r="D91" s="88">
        <v>2.0000000000000001E-4</v>
      </c>
      <c r="E91" s="75">
        <f t="shared" si="13"/>
        <v>52526.032666946499</v>
      </c>
      <c r="F91" s="75">
        <f t="shared" si="14"/>
        <v>52526</v>
      </c>
      <c r="G91" s="15">
        <f>+C91-(C$7+F91*C$8)</f>
        <v>1.9974057991930749E-2</v>
      </c>
      <c r="K91" s="15">
        <f>+G91</f>
        <v>1.9974057991930749E-2</v>
      </c>
      <c r="O91" s="15">
        <f t="shared" ca="1" si="16"/>
        <v>1.8813738105852768E-2</v>
      </c>
      <c r="Q91" s="69">
        <f t="shared" si="17"/>
        <v>42289.027199999997</v>
      </c>
    </row>
    <row r="92" spans="1:21" s="15" customFormat="1" ht="12.95" customHeight="1">
      <c r="A92" s="83" t="s">
        <v>328</v>
      </c>
      <c r="B92" s="84" t="s">
        <v>36</v>
      </c>
      <c r="C92" s="85">
        <v>57592.458700000003</v>
      </c>
      <c r="D92" s="85">
        <v>2.0000000000000001E-4</v>
      </c>
      <c r="E92" s="75">
        <f t="shared" si="13"/>
        <v>52992.029214599672</v>
      </c>
      <c r="F92" s="75">
        <f t="shared" si="14"/>
        <v>52992</v>
      </c>
      <c r="G92" s="15">
        <f>+C92-(C$7+F92*C$8)</f>
        <v>1.7863136003143154E-2</v>
      </c>
      <c r="K92" s="15">
        <f>+G92</f>
        <v>1.7863136003143154E-2</v>
      </c>
      <c r="O92" s="15">
        <f t="shared" ca="1" si="16"/>
        <v>1.7429748119783622E-2</v>
      </c>
      <c r="Q92" s="69">
        <f t="shared" si="17"/>
        <v>42573.958700000003</v>
      </c>
    </row>
    <row r="93" spans="1:21" s="15" customFormat="1" ht="12.95" customHeight="1">
      <c r="A93" s="83" t="s">
        <v>328</v>
      </c>
      <c r="B93" s="84" t="s">
        <v>36</v>
      </c>
      <c r="C93" s="85">
        <v>57592.459080000001</v>
      </c>
      <c r="D93" s="85">
        <v>2.0000000000000001E-4</v>
      </c>
      <c r="E93" s="75">
        <f t="shared" si="13"/>
        <v>52992.029836077767</v>
      </c>
      <c r="F93" s="75">
        <f t="shared" si="14"/>
        <v>52992</v>
      </c>
      <c r="G93" s="15">
        <f>+C93-(C$7+F93*C$8)</f>
        <v>1.8243136000819504E-2</v>
      </c>
      <c r="K93" s="15">
        <f>+G93</f>
        <v>1.8243136000819504E-2</v>
      </c>
      <c r="O93" s="15">
        <f t="shared" ca="1" si="16"/>
        <v>1.7429748119783622E-2</v>
      </c>
      <c r="Q93" s="69">
        <f t="shared" si="17"/>
        <v>42573.959080000001</v>
      </c>
    </row>
    <row r="94" spans="1:21" s="15" customFormat="1" ht="12.95" customHeight="1">
      <c r="A94" s="83" t="s">
        <v>328</v>
      </c>
      <c r="B94" s="84" t="s">
        <v>36</v>
      </c>
      <c r="C94" s="85">
        <v>57592.459349999997</v>
      </c>
      <c r="D94" s="85">
        <v>2.9999999999999997E-4</v>
      </c>
      <c r="E94" s="75">
        <f t="shared" si="13"/>
        <v>52992.03027765431</v>
      </c>
      <c r="F94" s="75">
        <f t="shared" si="14"/>
        <v>52992</v>
      </c>
      <c r="G94" s="15">
        <f>+C94-(C$7+F94*C$8)</f>
        <v>1.8513135997636709E-2</v>
      </c>
      <c r="K94" s="15">
        <f>+G94</f>
        <v>1.8513135997636709E-2</v>
      </c>
      <c r="O94" s="15">
        <f t="shared" ca="1" si="16"/>
        <v>1.7429748119783622E-2</v>
      </c>
      <c r="Q94" s="69">
        <f t="shared" si="17"/>
        <v>42573.959349999997</v>
      </c>
    </row>
    <row r="95" spans="1:21" s="15" customFormat="1" ht="12.95" customHeight="1">
      <c r="A95" s="83" t="s">
        <v>328</v>
      </c>
      <c r="B95" s="84" t="s">
        <v>50</v>
      </c>
      <c r="C95" s="85">
        <v>57640.463960000001</v>
      </c>
      <c r="D95" s="85">
        <v>5.9999999999999995E-4</v>
      </c>
      <c r="E95" s="75">
        <f t="shared" si="13"/>
        <v>53070.540314387486</v>
      </c>
      <c r="F95" s="75">
        <f t="shared" si="14"/>
        <v>53070.5</v>
      </c>
      <c r="O95" s="15">
        <f t="shared" ca="1" si="16"/>
        <v>1.7196608175778422E-2</v>
      </c>
      <c r="Q95" s="69">
        <f t="shared" si="17"/>
        <v>42621.963960000001</v>
      </c>
      <c r="U95" s="15">
        <f>+C95-(C$7+F95*C$8)</f>
        <v>2.4650051498610992E-2</v>
      </c>
    </row>
    <row r="96" spans="1:21" s="15" customFormat="1" ht="12.95" customHeight="1">
      <c r="A96" s="83" t="s">
        <v>0</v>
      </c>
      <c r="B96" s="89" t="s">
        <v>36</v>
      </c>
      <c r="C96" s="90">
        <v>57982.559000000001</v>
      </c>
      <c r="D96" s="90">
        <v>1.1999999999999999E-3</v>
      </c>
      <c r="E96" s="75">
        <f>+(C96-C$7)/C$8</f>
        <v>53630.026042042264</v>
      </c>
      <c r="F96" s="75">
        <f t="shared" si="14"/>
        <v>53630</v>
      </c>
      <c r="G96" s="15">
        <f>+C96-(C$7+F96*C$8)</f>
        <v>1.5923289996862877E-2</v>
      </c>
      <c r="K96" s="15">
        <f>+G96</f>
        <v>1.5923289996862877E-2</v>
      </c>
      <c r="O96" s="15">
        <f ca="1">+C$11+C$12*F96</f>
        <v>1.5534929211817733E-2</v>
      </c>
      <c r="Q96" s="69">
        <f>+C96-15018.5</f>
        <v>42964.059000000001</v>
      </c>
    </row>
    <row r="97" spans="1:17" s="15" customFormat="1" ht="12.95" customHeight="1">
      <c r="A97" s="91" t="s">
        <v>329</v>
      </c>
      <c r="B97" s="92" t="s">
        <v>36</v>
      </c>
      <c r="C97" s="93">
        <v>58042.476069999859</v>
      </c>
      <c r="D97" s="93">
        <v>5.0000000000000001E-4</v>
      </c>
      <c r="E97" s="75">
        <f>+(C97-C$7)/C$8</f>
        <v>53728.018534151517</v>
      </c>
      <c r="F97" s="75">
        <f t="shared" si="14"/>
        <v>53728</v>
      </c>
      <c r="G97" s="15">
        <f>+C97-(C$7+F97*C$8)</f>
        <v>1.1332623857015278E-2</v>
      </c>
      <c r="K97" s="15">
        <f>+G97</f>
        <v>1.1332623857015278E-2</v>
      </c>
      <c r="O97" s="15">
        <f ca="1">+C$11+C$12*F97</f>
        <v>1.5243875523760275E-2</v>
      </c>
      <c r="Q97" s="69">
        <f>+C97-15018.5</f>
        <v>43023.976069999859</v>
      </c>
    </row>
    <row r="98" spans="1:17" s="15" customFormat="1" ht="12.95" customHeight="1">
      <c r="A98" s="94" t="s">
        <v>330</v>
      </c>
      <c r="B98" s="95" t="s">
        <v>36</v>
      </c>
      <c r="C98" s="96">
        <v>58042.480199999998</v>
      </c>
      <c r="D98" s="96">
        <v>1E-4</v>
      </c>
      <c r="E98" s="75">
        <f>+(C98-C$7)/C$8</f>
        <v>53728.025288637444</v>
      </c>
      <c r="F98" s="75">
        <f>ROUND(2*E98,0)/2</f>
        <v>53728</v>
      </c>
      <c r="G98" s="15">
        <f>+C98-(C$7+F98*C$8)</f>
        <v>1.5462623996427283E-2</v>
      </c>
      <c r="K98" s="15">
        <f>+G98</f>
        <v>1.5462623996427283E-2</v>
      </c>
      <c r="O98" s="15">
        <f ca="1">+C$11+C$12*F98</f>
        <v>1.5243875523760275E-2</v>
      </c>
      <c r="Q98" s="69">
        <f>+C98-15018.5</f>
        <v>43023.980199999998</v>
      </c>
    </row>
    <row r="99" spans="1:17" s="15" customFormat="1" ht="12.95" customHeight="1">
      <c r="A99" s="94" t="s">
        <v>330</v>
      </c>
      <c r="B99" s="95" t="s">
        <v>36</v>
      </c>
      <c r="C99" s="96">
        <v>58053.486299999997</v>
      </c>
      <c r="D99" s="96">
        <v>1E-4</v>
      </c>
      <c r="E99" s="75">
        <f>+(C99-C$7)/C$8</f>
        <v>53746.025420609949</v>
      </c>
      <c r="F99" s="75">
        <f>ROUND(2*E99,0)/2</f>
        <v>53746</v>
      </c>
      <c r="G99" s="15">
        <f>+C99-(C$7+F99*C$8)</f>
        <v>1.5543317989795469E-2</v>
      </c>
      <c r="K99" s="15">
        <f>+G99</f>
        <v>1.5543317989795469E-2</v>
      </c>
      <c r="O99" s="15">
        <f ca="1">+C$11+C$12*F99</f>
        <v>1.5190416683096647E-2</v>
      </c>
      <c r="Q99" s="69">
        <f>+C99-15018.5</f>
        <v>43034.986299999997</v>
      </c>
    </row>
    <row r="100" spans="1:17" s="15" customFormat="1" ht="12.95" customHeight="1">
      <c r="B100" s="56"/>
    </row>
    <row r="101" spans="1:17" s="15" customFormat="1" ht="12.95" customHeight="1">
      <c r="B101" s="56"/>
    </row>
    <row r="102" spans="1:17" s="15" customFormat="1" ht="12.95" customHeight="1">
      <c r="B102" s="56"/>
    </row>
    <row r="103" spans="1:17" s="15" customFormat="1" ht="12.95" customHeight="1">
      <c r="B103" s="56"/>
    </row>
    <row r="104" spans="1:17" s="15" customFormat="1" ht="12.95" customHeight="1">
      <c r="B104" s="56"/>
    </row>
    <row r="105" spans="1:17" s="15" customFormat="1" ht="12.95" customHeight="1">
      <c r="B105" s="56"/>
    </row>
    <row r="106" spans="1:17" s="15" customFormat="1" ht="12.95" customHeight="1">
      <c r="B106" s="56"/>
    </row>
    <row r="107" spans="1:17" s="15" customFormat="1" ht="12.95" customHeight="1">
      <c r="B107" s="56"/>
    </row>
    <row r="108" spans="1:17" s="15" customFormat="1" ht="12.95" customHeight="1">
      <c r="B108" s="56"/>
    </row>
    <row r="109" spans="1:17" s="15" customFormat="1" ht="12.95" customHeight="1">
      <c r="B109" s="56"/>
    </row>
    <row r="110" spans="1:17" s="15" customFormat="1" ht="12.95" customHeight="1">
      <c r="B110" s="56"/>
    </row>
    <row r="111" spans="1:17" s="15" customFormat="1" ht="12.95" customHeight="1">
      <c r="B111" s="56"/>
    </row>
    <row r="112" spans="1:17" s="15" customFormat="1" ht="12.95" customHeight="1">
      <c r="B112" s="56"/>
    </row>
    <row r="113" spans="2:2" s="15" customFormat="1" ht="12.95" customHeight="1">
      <c r="B113" s="56"/>
    </row>
    <row r="114" spans="2:2" s="15" customFormat="1" ht="12.95" customHeight="1">
      <c r="B114" s="56"/>
    </row>
    <row r="115" spans="2:2" s="15" customFormat="1" ht="12.95" customHeight="1">
      <c r="B115" s="56"/>
    </row>
    <row r="116" spans="2:2" s="15" customFormat="1" ht="12.95" customHeight="1">
      <c r="B116" s="56"/>
    </row>
    <row r="117" spans="2:2" s="15" customFormat="1" ht="12.95" customHeight="1">
      <c r="B117" s="56"/>
    </row>
    <row r="118" spans="2:2" s="15" customFormat="1" ht="12.95" customHeight="1">
      <c r="B118" s="56"/>
    </row>
    <row r="119" spans="2:2" s="15" customFormat="1" ht="12.95" customHeight="1">
      <c r="B119" s="56"/>
    </row>
    <row r="120" spans="2:2" s="15" customFormat="1" ht="12.95" customHeight="1">
      <c r="B120" s="56"/>
    </row>
    <row r="121" spans="2:2" s="15" customFormat="1" ht="12.95" customHeight="1">
      <c r="B121" s="56"/>
    </row>
    <row r="122" spans="2:2" s="15" customFormat="1" ht="12.95" customHeight="1">
      <c r="B122" s="56"/>
    </row>
    <row r="123" spans="2:2" s="15" customFormat="1" ht="12.95" customHeight="1">
      <c r="B123" s="56"/>
    </row>
    <row r="124" spans="2:2" s="15" customFormat="1" ht="12.95" customHeight="1">
      <c r="B124" s="56"/>
    </row>
    <row r="125" spans="2:2" s="15" customFormat="1" ht="12.95" customHeight="1">
      <c r="B125" s="56"/>
    </row>
    <row r="126" spans="2:2" s="15" customFormat="1" ht="12.95" customHeight="1">
      <c r="B126" s="56"/>
    </row>
    <row r="127" spans="2:2" s="15" customFormat="1" ht="12.95" customHeight="1">
      <c r="B127" s="56"/>
    </row>
    <row r="128" spans="2:2" s="15" customFormat="1" ht="12.95" customHeight="1">
      <c r="B128" s="56"/>
    </row>
    <row r="129" spans="2:2" s="15" customFormat="1" ht="12.95" customHeight="1">
      <c r="B129" s="56"/>
    </row>
    <row r="130" spans="2:2" s="15" customFormat="1" ht="12.95" customHeight="1">
      <c r="B130" s="56"/>
    </row>
    <row r="131" spans="2:2" s="15" customFormat="1" ht="12.95" customHeight="1">
      <c r="B131" s="56"/>
    </row>
    <row r="132" spans="2:2" s="15" customFormat="1" ht="12.95" customHeight="1">
      <c r="B132" s="56"/>
    </row>
    <row r="133" spans="2:2" s="15" customFormat="1" ht="12.95" customHeight="1">
      <c r="B133" s="56"/>
    </row>
    <row r="134" spans="2:2" s="15" customFormat="1" ht="12.95" customHeight="1">
      <c r="B134" s="56"/>
    </row>
    <row r="135" spans="2:2" s="15" customFormat="1" ht="12.95" customHeight="1">
      <c r="B135" s="56"/>
    </row>
    <row r="136" spans="2:2" s="15" customFormat="1" ht="12.95" customHeight="1">
      <c r="B136" s="56"/>
    </row>
    <row r="137" spans="2:2" s="15" customFormat="1" ht="12.95" customHeight="1">
      <c r="B137" s="56"/>
    </row>
    <row r="138" spans="2:2" s="15" customFormat="1" ht="12.95" customHeight="1">
      <c r="B138" s="56"/>
    </row>
    <row r="139" spans="2:2" s="15" customFormat="1" ht="12.95" customHeight="1">
      <c r="B139" s="56"/>
    </row>
    <row r="140" spans="2:2" s="15" customFormat="1" ht="12.95" customHeight="1">
      <c r="B140" s="56"/>
    </row>
    <row r="141" spans="2:2" s="15" customFormat="1" ht="12.95" customHeight="1">
      <c r="B141" s="56"/>
    </row>
    <row r="142" spans="2:2" s="15" customFormat="1" ht="12.95" customHeight="1">
      <c r="B142" s="56"/>
    </row>
    <row r="143" spans="2:2" s="15" customFormat="1" ht="12.95" customHeight="1">
      <c r="B143" s="56"/>
    </row>
    <row r="144" spans="2:2" s="15" customFormat="1" ht="12.95" customHeight="1">
      <c r="B144" s="56"/>
    </row>
    <row r="145" spans="2:2" s="15" customFormat="1" ht="12.95" customHeight="1">
      <c r="B145" s="56"/>
    </row>
    <row r="146" spans="2:2" s="15" customFormat="1" ht="12.95" customHeight="1">
      <c r="B146" s="56"/>
    </row>
    <row r="147" spans="2:2" s="15" customFormat="1" ht="12.95" customHeight="1">
      <c r="B147" s="56"/>
    </row>
    <row r="148" spans="2:2" s="15" customFormat="1" ht="12.95" customHeight="1">
      <c r="B148" s="56"/>
    </row>
    <row r="149" spans="2:2" s="15" customFormat="1" ht="12.95" customHeight="1">
      <c r="B149" s="56"/>
    </row>
    <row r="150" spans="2:2" s="15" customFormat="1" ht="12.95" customHeight="1">
      <c r="B150" s="56"/>
    </row>
    <row r="151" spans="2:2" s="15" customFormat="1" ht="12.95" customHeight="1">
      <c r="B151" s="56"/>
    </row>
    <row r="152" spans="2:2" s="15" customFormat="1" ht="12.95" customHeight="1">
      <c r="B152" s="56"/>
    </row>
    <row r="153" spans="2:2" s="15" customFormat="1" ht="12.95" customHeight="1">
      <c r="B153" s="56"/>
    </row>
    <row r="154" spans="2:2" s="15" customFormat="1" ht="12.95" customHeight="1">
      <c r="B154" s="56"/>
    </row>
    <row r="155" spans="2:2" s="15" customFormat="1" ht="12.95" customHeight="1">
      <c r="B155" s="56"/>
    </row>
    <row r="156" spans="2:2" s="15" customFormat="1" ht="12.95" customHeight="1">
      <c r="B156" s="56"/>
    </row>
    <row r="157" spans="2:2" s="15" customFormat="1" ht="12.95" customHeight="1">
      <c r="B157" s="56"/>
    </row>
    <row r="158" spans="2:2" s="15" customFormat="1" ht="12.95" customHeight="1">
      <c r="B158" s="56"/>
    </row>
    <row r="159" spans="2:2" s="15" customFormat="1" ht="12.95" customHeight="1">
      <c r="B159" s="56"/>
    </row>
    <row r="160" spans="2:2" s="15" customFormat="1" ht="12.95" customHeight="1">
      <c r="B160" s="56"/>
    </row>
    <row r="161" spans="2:2" s="15" customFormat="1" ht="12.95" customHeight="1">
      <c r="B161" s="56"/>
    </row>
    <row r="162" spans="2:2" s="15" customFormat="1" ht="12.95" customHeight="1">
      <c r="B162" s="56"/>
    </row>
    <row r="163" spans="2:2" s="15" customFormat="1" ht="12.95" customHeight="1">
      <c r="B163" s="56"/>
    </row>
    <row r="164" spans="2:2" s="15" customFormat="1" ht="12.95" customHeight="1">
      <c r="B164" s="56"/>
    </row>
    <row r="165" spans="2:2" s="15" customFormat="1" ht="12.95" customHeight="1">
      <c r="B165" s="56"/>
    </row>
    <row r="166" spans="2:2" s="15" customFormat="1" ht="12.95" customHeight="1">
      <c r="B166" s="56"/>
    </row>
    <row r="167" spans="2:2" s="15" customFormat="1" ht="12.95" customHeight="1">
      <c r="B167" s="56"/>
    </row>
    <row r="168" spans="2:2" s="15" customFormat="1" ht="12.95" customHeight="1">
      <c r="B168" s="56"/>
    </row>
    <row r="169" spans="2:2" s="15" customFormat="1" ht="12.95" customHeight="1">
      <c r="B169" s="56"/>
    </row>
    <row r="170" spans="2:2" s="15" customFormat="1" ht="12.95" customHeight="1">
      <c r="B170" s="56"/>
    </row>
    <row r="171" spans="2:2" s="15" customFormat="1" ht="12.95" customHeight="1">
      <c r="B171" s="56"/>
    </row>
    <row r="172" spans="2:2" s="15" customFormat="1" ht="12.95" customHeight="1">
      <c r="B172" s="56"/>
    </row>
    <row r="173" spans="2:2" s="15" customFormat="1" ht="12.95" customHeight="1">
      <c r="B173" s="56"/>
    </row>
    <row r="174" spans="2:2" s="15" customFormat="1" ht="12.95" customHeight="1">
      <c r="B174" s="56"/>
    </row>
    <row r="175" spans="2:2" s="15" customFormat="1" ht="12.95" customHeight="1">
      <c r="B175" s="56"/>
    </row>
    <row r="176" spans="2:2" s="15" customFormat="1" ht="12.95" customHeight="1">
      <c r="B176" s="56"/>
    </row>
    <row r="177" spans="2:2" s="15" customFormat="1" ht="12.95" customHeight="1">
      <c r="B177" s="56"/>
    </row>
    <row r="178" spans="2:2" s="15" customFormat="1" ht="12.95" customHeight="1">
      <c r="B178" s="56"/>
    </row>
    <row r="179" spans="2:2" s="15" customFormat="1" ht="12.95" customHeight="1">
      <c r="B179" s="56"/>
    </row>
    <row r="180" spans="2:2" s="15" customFormat="1" ht="12.95" customHeight="1">
      <c r="B180" s="56"/>
    </row>
    <row r="181" spans="2:2" s="15" customFormat="1" ht="12.95" customHeight="1">
      <c r="B181" s="56"/>
    </row>
    <row r="182" spans="2:2" s="15" customFormat="1" ht="12.95" customHeight="1">
      <c r="B182" s="56"/>
    </row>
    <row r="183" spans="2:2" s="15" customFormat="1" ht="12.95" customHeight="1">
      <c r="B183" s="56"/>
    </row>
    <row r="184" spans="2:2" s="15" customFormat="1" ht="12.95" customHeight="1">
      <c r="B184" s="56"/>
    </row>
    <row r="185" spans="2:2" s="15" customFormat="1" ht="12.95" customHeight="1">
      <c r="B185" s="56"/>
    </row>
    <row r="186" spans="2:2" s="15" customFormat="1" ht="12.95" customHeight="1">
      <c r="B186" s="56"/>
    </row>
    <row r="187" spans="2:2" s="15" customFormat="1" ht="12.95" customHeight="1">
      <c r="B187" s="56"/>
    </row>
    <row r="188" spans="2:2" s="15" customFormat="1" ht="12.95" customHeight="1">
      <c r="B188" s="56"/>
    </row>
    <row r="189" spans="2:2" s="15" customFormat="1" ht="12.95" customHeight="1">
      <c r="B189" s="56"/>
    </row>
    <row r="190" spans="2:2" s="15" customFormat="1" ht="12.95" customHeight="1">
      <c r="B190" s="56"/>
    </row>
    <row r="191" spans="2:2" s="15" customFormat="1" ht="12.95" customHeight="1">
      <c r="B191" s="56"/>
    </row>
    <row r="192" spans="2:2" s="15" customFormat="1" ht="12.95" customHeight="1">
      <c r="B192" s="56"/>
    </row>
    <row r="193" spans="2:2" s="15" customFormat="1" ht="12.95" customHeight="1">
      <c r="B193" s="56"/>
    </row>
    <row r="194" spans="2:2" s="15" customFormat="1" ht="12.95" customHeight="1">
      <c r="B194" s="56"/>
    </row>
    <row r="195" spans="2:2" s="15" customFormat="1" ht="12.95" customHeight="1">
      <c r="B195" s="56"/>
    </row>
    <row r="196" spans="2:2" s="15" customFormat="1" ht="12.95" customHeight="1">
      <c r="B196" s="56"/>
    </row>
    <row r="197" spans="2:2" s="15" customFormat="1" ht="12.95" customHeight="1">
      <c r="B197" s="56"/>
    </row>
    <row r="198" spans="2:2" s="15" customFormat="1" ht="12.95" customHeight="1">
      <c r="B198" s="56"/>
    </row>
    <row r="199" spans="2:2" s="15" customFormat="1" ht="12.95" customHeight="1">
      <c r="B199" s="56"/>
    </row>
    <row r="200" spans="2:2" s="15" customFormat="1" ht="12.95" customHeight="1">
      <c r="B200" s="56"/>
    </row>
    <row r="201" spans="2:2" s="15" customFormat="1" ht="12.95" customHeight="1">
      <c r="B201" s="56"/>
    </row>
    <row r="202" spans="2:2" s="15" customFormat="1" ht="12.95" customHeight="1">
      <c r="B202" s="56"/>
    </row>
    <row r="203" spans="2:2" s="15" customFormat="1" ht="12.95" customHeight="1">
      <c r="B203" s="56"/>
    </row>
    <row r="204" spans="2:2" s="15" customFormat="1" ht="12.95" customHeight="1">
      <c r="B204" s="56"/>
    </row>
    <row r="205" spans="2:2" s="15" customFormat="1" ht="12.95" customHeight="1">
      <c r="B205" s="56"/>
    </row>
    <row r="206" spans="2:2" s="15" customFormat="1" ht="12.95" customHeight="1">
      <c r="B206" s="56"/>
    </row>
    <row r="207" spans="2:2" s="15" customFormat="1" ht="12.95" customHeight="1">
      <c r="B207" s="56"/>
    </row>
    <row r="208" spans="2:2" s="15" customFormat="1" ht="12.95" customHeight="1">
      <c r="B208" s="56"/>
    </row>
    <row r="209" spans="2:2" s="15" customFormat="1" ht="12.95" customHeight="1">
      <c r="B209" s="56"/>
    </row>
    <row r="210" spans="2:2" s="15" customFormat="1" ht="12.95" customHeight="1">
      <c r="B210" s="56"/>
    </row>
    <row r="211" spans="2:2" s="15" customFormat="1" ht="12.95" customHeight="1">
      <c r="B211" s="56"/>
    </row>
    <row r="212" spans="2:2" s="15" customFormat="1" ht="12.95" customHeight="1">
      <c r="B212" s="56"/>
    </row>
    <row r="213" spans="2:2" s="15" customFormat="1" ht="12.95" customHeight="1">
      <c r="B213" s="56"/>
    </row>
    <row r="214" spans="2:2" s="15" customFormat="1" ht="12.95" customHeight="1">
      <c r="B214" s="56"/>
    </row>
    <row r="215" spans="2:2" s="15" customFormat="1" ht="12.95" customHeight="1">
      <c r="B215" s="56"/>
    </row>
    <row r="216" spans="2:2" s="15" customFormat="1" ht="12.95" customHeight="1">
      <c r="B216" s="56"/>
    </row>
    <row r="217" spans="2:2" s="15" customFormat="1" ht="12.95" customHeight="1">
      <c r="B217" s="56"/>
    </row>
    <row r="218" spans="2:2" s="15" customFormat="1" ht="12.95" customHeight="1">
      <c r="B218" s="56"/>
    </row>
    <row r="219" spans="2:2" s="15" customFormat="1" ht="12.95" customHeight="1">
      <c r="B219" s="56"/>
    </row>
    <row r="220" spans="2:2" s="15" customFormat="1" ht="12.95" customHeight="1">
      <c r="B220" s="56"/>
    </row>
    <row r="221" spans="2:2" s="15" customFormat="1" ht="12.95" customHeight="1">
      <c r="B221" s="56"/>
    </row>
    <row r="222" spans="2:2" s="15" customFormat="1" ht="12.95" customHeight="1">
      <c r="B222" s="56"/>
    </row>
    <row r="223" spans="2:2" s="15" customFormat="1" ht="12.95" customHeight="1">
      <c r="B223" s="56"/>
    </row>
    <row r="224" spans="2:2" s="15" customFormat="1" ht="12.95" customHeight="1">
      <c r="B224" s="56"/>
    </row>
    <row r="225" spans="2:2" s="15" customFormat="1" ht="12.95" customHeight="1">
      <c r="B225" s="56"/>
    </row>
    <row r="226" spans="2:2" s="15" customFormat="1" ht="12.95" customHeight="1">
      <c r="B226" s="56"/>
    </row>
    <row r="227" spans="2:2" s="15" customFormat="1" ht="12.95" customHeight="1">
      <c r="B227" s="56"/>
    </row>
    <row r="228" spans="2:2" s="15" customFormat="1" ht="12.95" customHeight="1">
      <c r="B228" s="56"/>
    </row>
    <row r="229" spans="2:2" s="15" customFormat="1" ht="12.95" customHeight="1">
      <c r="B229" s="56"/>
    </row>
    <row r="230" spans="2:2" s="15" customFormat="1" ht="12.95" customHeight="1">
      <c r="B230" s="56"/>
    </row>
    <row r="231" spans="2:2" s="15" customFormat="1" ht="12.95" customHeight="1">
      <c r="B231" s="56"/>
    </row>
    <row r="232" spans="2:2" s="15" customFormat="1" ht="12.95" customHeight="1">
      <c r="B232" s="56"/>
    </row>
    <row r="233" spans="2:2" s="15" customFormat="1" ht="12.95" customHeight="1">
      <c r="B233" s="56"/>
    </row>
    <row r="234" spans="2:2" s="15" customFormat="1" ht="12.95" customHeight="1">
      <c r="B234" s="56"/>
    </row>
    <row r="235" spans="2:2" s="15" customFormat="1" ht="12.95" customHeight="1">
      <c r="B235" s="56"/>
    </row>
    <row r="236" spans="2:2" s="15" customFormat="1" ht="12.95" customHeight="1">
      <c r="B236" s="56"/>
    </row>
    <row r="237" spans="2:2" s="15" customFormat="1" ht="12.95" customHeight="1">
      <c r="B237" s="56"/>
    </row>
    <row r="238" spans="2:2" s="15" customFormat="1" ht="12.95" customHeight="1">
      <c r="B238" s="56"/>
    </row>
    <row r="239" spans="2:2" s="15" customFormat="1" ht="12.95" customHeight="1">
      <c r="B239" s="56"/>
    </row>
    <row r="240" spans="2:2" s="15" customFormat="1" ht="12.95" customHeight="1">
      <c r="B240" s="56"/>
    </row>
    <row r="241" spans="2:2" s="15" customFormat="1" ht="12.95" customHeight="1">
      <c r="B241" s="56"/>
    </row>
    <row r="242" spans="2:2" s="15" customFormat="1" ht="12.95" customHeight="1">
      <c r="B242" s="5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</sheetData>
  <protectedRanges>
    <protectedRange sqref="A97:D97" name="Range1"/>
  </protectedRanges>
  <phoneticPr fontId="0" type="noConversion"/>
  <hyperlinks>
    <hyperlink ref="H2486" r:id="rId1" display="http://vsolj.cetus-net.org/bulletin.html"/>
    <hyperlink ref="H64670" r:id="rId2" display="http://vsolj.cetus-net.org/bulletin.html"/>
    <hyperlink ref="H64663" r:id="rId3" display="https://www.aavso.org/ejaavso"/>
    <hyperlink ref="AP1521" r:id="rId4" display="http://cdsbib.u-strasbg.fr/cgi-bin/cdsbib?1990RMxAA..21..381G"/>
    <hyperlink ref="AP1518" r:id="rId5" display="http://cdsbib.u-strasbg.fr/cgi-bin/cdsbib?1990RMxAA..21..381G"/>
    <hyperlink ref="AP1520" r:id="rId6" display="http://cdsbib.u-strasbg.fr/cgi-bin/cdsbib?1990RMxAA..21..381G"/>
    <hyperlink ref="AP1496" r:id="rId7" display="http://cdsbib.u-strasbg.fr/cgi-bin/cdsbib?1990RMxAA..21..381G"/>
    <hyperlink ref="I64670" r:id="rId8" display="http://vsolj.cetus-net.org/bulletin.html"/>
    <hyperlink ref="AQ1657" r:id="rId9" display="http://cdsbib.u-strasbg.fr/cgi-bin/cdsbib?1990RMxAA..21..381G"/>
    <hyperlink ref="AQ3301" r:id="rId10" display="http://cdsbib.u-strasbg.fr/cgi-bin/cdsbib?1990RMxAA..21..381G"/>
    <hyperlink ref="AQ1658" r:id="rId11" display="http://cdsbib.u-strasbg.fr/cgi-bin/cdsbib?1990RMxAA..21..381G"/>
    <hyperlink ref="H64667" r:id="rId12" display="https://www.aavso.org/ejaavso"/>
    <hyperlink ref="H2508" r:id="rId13" display="http://vsolj.cetus-net.org/bulletin.html"/>
    <hyperlink ref="AP5746" r:id="rId14" display="http://cdsbib.u-strasbg.fr/cgi-bin/cdsbib?1990RMxAA..21..381G"/>
    <hyperlink ref="AP5749" r:id="rId15" display="http://cdsbib.u-strasbg.fr/cgi-bin/cdsbib?1990RMxAA..21..381G"/>
    <hyperlink ref="AP5747" r:id="rId16" display="http://cdsbib.u-strasbg.fr/cgi-bin/cdsbib?1990RMxAA..21..381G"/>
    <hyperlink ref="AP5725" r:id="rId17" display="http://cdsbib.u-strasbg.fr/cgi-bin/cdsbib?1990RMxAA..21..381G"/>
    <hyperlink ref="I2508" r:id="rId18" display="http://vsolj.cetus-net.org/bulletin.html"/>
    <hyperlink ref="AQ5859" r:id="rId19" display="http://cdsbib.u-strasbg.fr/cgi-bin/cdsbib?1990RMxAA..21..381G"/>
    <hyperlink ref="AQ411" r:id="rId20" display="http://cdsbib.u-strasbg.fr/cgi-bin/cdsbib?1990RMxAA..21..381G"/>
    <hyperlink ref="AQ5860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D3" sqref="D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33</v>
      </c>
    </row>
    <row r="2" spans="1:5">
      <c r="A2" t="s">
        <v>29</v>
      </c>
      <c r="B2" t="s">
        <v>34</v>
      </c>
    </row>
    <row r="3" spans="1:5" ht="13.5" thickBot="1">
      <c r="D3" s="22" t="s">
        <v>40</v>
      </c>
    </row>
    <row r="4" spans="1:5" ht="14.25" thickTop="1" thickBot="1">
      <c r="A4" s="8" t="s">
        <v>3</v>
      </c>
      <c r="C4" s="20">
        <v>25190.720000000001</v>
      </c>
      <c r="D4" s="21">
        <v>5.203265</v>
      </c>
    </row>
    <row r="5" spans="1:5" ht="13.5" thickTop="1"/>
    <row r="6" spans="1:5">
      <c r="A6" s="8" t="s">
        <v>4</v>
      </c>
    </row>
    <row r="7" spans="1:5">
      <c r="A7" t="s">
        <v>5</v>
      </c>
      <c r="C7">
        <f>+C4</f>
        <v>25190.720000000001</v>
      </c>
    </row>
    <row r="8" spans="1:5">
      <c r="A8" t="s">
        <v>6</v>
      </c>
      <c r="C8" s="23">
        <v>0.61145517000000005</v>
      </c>
      <c r="D8" t="s">
        <v>41</v>
      </c>
      <c r="E8" t="s">
        <v>42</v>
      </c>
    </row>
    <row r="10" spans="1:5" ht="13.5" thickBot="1">
      <c r="C10" s="7" t="s">
        <v>24</v>
      </c>
      <c r="D10" s="7" t="s">
        <v>25</v>
      </c>
    </row>
    <row r="11" spans="1:5">
      <c r="A11" t="s">
        <v>19</v>
      </c>
      <c r="C11">
        <f>INTERCEPT(G21:G29,F21:F29)</f>
        <v>0.37392219645724412</v>
      </c>
      <c r="D11" s="6"/>
    </row>
    <row r="12" spans="1:5">
      <c r="A12" t="s">
        <v>20</v>
      </c>
      <c r="C12">
        <f>SLOPE(G21:G29,F21:F29)</f>
        <v>-1.0461196099856668E-5</v>
      </c>
      <c r="D12" s="6"/>
    </row>
    <row r="13" spans="1:5">
      <c r="A13" t="s">
        <v>23</v>
      </c>
      <c r="C13" s="6" t="s">
        <v>17</v>
      </c>
      <c r="D13" s="6"/>
    </row>
    <row r="14" spans="1:5">
      <c r="A14" t="s">
        <v>28</v>
      </c>
    </row>
    <row r="15" spans="1:5">
      <c r="A15" s="3" t="s">
        <v>21</v>
      </c>
      <c r="C15" s="19">
        <v>53349.349300000002</v>
      </c>
    </row>
    <row r="16" spans="1:5">
      <c r="A16" s="8" t="s">
        <v>7</v>
      </c>
      <c r="C16">
        <f>+C8+C12</f>
        <v>0.61144470880390023</v>
      </c>
    </row>
    <row r="17" spans="1:17" ht="13.5" thickBot="1"/>
    <row r="18" spans="1:17">
      <c r="A18" s="8" t="s">
        <v>8</v>
      </c>
      <c r="C18" s="4">
        <f>+C15</f>
        <v>53349.349300000002</v>
      </c>
      <c r="D18" s="5">
        <f>+C16</f>
        <v>0.61144470880390023</v>
      </c>
    </row>
    <row r="19" spans="1:17" ht="13.5" thickTop="1">
      <c r="C19">
        <f>+COUNT(C21:C1646)</f>
        <v>9</v>
      </c>
    </row>
    <row r="20" spans="1:17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38</v>
      </c>
      <c r="J20" s="10" t="s">
        <v>53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17">
      <c r="A21" t="s">
        <v>15</v>
      </c>
      <c r="C21">
        <v>25190.720000000001</v>
      </c>
      <c r="D21" s="6" t="s">
        <v>17</v>
      </c>
      <c r="E21">
        <f t="shared" ref="E21:E29" si="0">+(C21-C$7)/C$8</f>
        <v>0</v>
      </c>
      <c r="F21">
        <f t="shared" ref="F21:F29" si="1">ROUND(2*E21,0)/2</f>
        <v>0</v>
      </c>
      <c r="H21">
        <v>0</v>
      </c>
      <c r="O21">
        <f t="shared" ref="O21:O29" si="2">+C$11+C$12*F21</f>
        <v>0.37392219645724412</v>
      </c>
      <c r="Q21" s="2">
        <f t="shared" ref="Q21:Q29" si="3">+C21-15018.5</f>
        <v>10172.220000000001</v>
      </c>
    </row>
    <row r="22" spans="1:17">
      <c r="A22" s="15" t="s">
        <v>37</v>
      </c>
      <c r="B22" s="16"/>
      <c r="C22" s="17">
        <v>49571.532599999999</v>
      </c>
      <c r="D22" s="17">
        <v>8.0000000000000004E-4</v>
      </c>
      <c r="E22">
        <f t="shared" si="0"/>
        <v>39873.426207190292</v>
      </c>
      <c r="F22">
        <f t="shared" si="1"/>
        <v>39873.5</v>
      </c>
      <c r="G22">
        <f t="shared" ref="G22:G29" si="4">+C22-(C$7+F22*C$8)</f>
        <v>-4.5120995004253928E-2</v>
      </c>
      <c r="I22">
        <f t="shared" ref="I22:I27" si="5">+G22</f>
        <v>-4.5120995004253928E-2</v>
      </c>
      <c r="O22">
        <f t="shared" si="2"/>
        <v>-4.320230623039073E-2</v>
      </c>
      <c r="Q22" s="2">
        <f t="shared" si="3"/>
        <v>34553.032599999999</v>
      </c>
    </row>
    <row r="23" spans="1:17">
      <c r="A23" s="15" t="s">
        <v>37</v>
      </c>
      <c r="B23" s="16"/>
      <c r="C23" s="17">
        <v>50706.375099999997</v>
      </c>
      <c r="D23" s="17">
        <v>4.1999999999999997E-3</v>
      </c>
      <c r="E23">
        <f t="shared" si="0"/>
        <v>41729.396285912495</v>
      </c>
      <c r="F23">
        <f t="shared" si="1"/>
        <v>41729.5</v>
      </c>
      <c r="G23">
        <f t="shared" si="4"/>
        <v>-6.3416515004064422E-2</v>
      </c>
      <c r="I23">
        <f t="shared" si="5"/>
        <v>-6.3416515004064422E-2</v>
      </c>
      <c r="O23">
        <f t="shared" si="2"/>
        <v>-6.2618286191724715E-2</v>
      </c>
      <c r="Q23" s="2">
        <f t="shared" si="3"/>
        <v>35687.875099999997</v>
      </c>
    </row>
    <row r="24" spans="1:17">
      <c r="A24" s="15" t="s">
        <v>37</v>
      </c>
      <c r="B24" s="16"/>
      <c r="C24" s="17">
        <v>51471.294500000004</v>
      </c>
      <c r="D24" s="17">
        <v>2E-3</v>
      </c>
      <c r="E24">
        <f t="shared" si="0"/>
        <v>42980.378267142623</v>
      </c>
      <c r="F24">
        <f t="shared" si="1"/>
        <v>42980.5</v>
      </c>
      <c r="G24">
        <f t="shared" si="4"/>
        <v>-7.4434185000427533E-2</v>
      </c>
      <c r="I24">
        <f t="shared" si="5"/>
        <v>-7.4434185000427533E-2</v>
      </c>
      <c r="O24">
        <f t="shared" si="2"/>
        <v>-7.5705242512645432E-2</v>
      </c>
      <c r="Q24" s="2">
        <f t="shared" si="3"/>
        <v>36452.794500000004</v>
      </c>
    </row>
    <row r="25" spans="1:17">
      <c r="A25" s="15" t="s">
        <v>37</v>
      </c>
      <c r="B25" s="16"/>
      <c r="C25" s="17">
        <v>51834.491900000001</v>
      </c>
      <c r="D25" s="17">
        <v>2.9999999999999997E-4</v>
      </c>
      <c r="E25">
        <f t="shared" si="0"/>
        <v>43574.366866503064</v>
      </c>
      <c r="F25">
        <f t="shared" si="1"/>
        <v>43574.5</v>
      </c>
      <c r="G25">
        <f t="shared" si="4"/>
        <v>-8.1405165001342539E-2</v>
      </c>
      <c r="I25">
        <f t="shared" si="5"/>
        <v>-8.1405165001342539E-2</v>
      </c>
      <c r="O25">
        <f t="shared" si="2"/>
        <v>-8.1919192995960288E-2</v>
      </c>
      <c r="Q25" s="2">
        <f t="shared" si="3"/>
        <v>36815.991900000001</v>
      </c>
    </row>
    <row r="26" spans="1:17">
      <c r="A26" s="11" t="s">
        <v>35</v>
      </c>
      <c r="B26" s="12" t="s">
        <v>36</v>
      </c>
      <c r="C26" s="13">
        <v>53267.718800000002</v>
      </c>
      <c r="D26" s="14">
        <v>6.9999999999999999E-4</v>
      </c>
      <c r="E26">
        <f t="shared" si="0"/>
        <v>45918.327585651125</v>
      </c>
      <c r="F26">
        <f t="shared" si="1"/>
        <v>45918.5</v>
      </c>
      <c r="G26">
        <f t="shared" si="4"/>
        <v>-0.10542364499997348</v>
      </c>
      <c r="I26">
        <f t="shared" si="5"/>
        <v>-0.10542364499997348</v>
      </c>
      <c r="O26">
        <f t="shared" si="2"/>
        <v>-0.1064402366540243</v>
      </c>
      <c r="Q26" s="2">
        <f t="shared" si="3"/>
        <v>38249.218800000002</v>
      </c>
    </row>
    <row r="27" spans="1:17">
      <c r="A27" s="15" t="s">
        <v>39</v>
      </c>
      <c r="B27" s="18"/>
      <c r="C27" s="19">
        <v>53349.349300000002</v>
      </c>
      <c r="D27" s="19">
        <v>2.7000000000000001E-3</v>
      </c>
      <c r="E27">
        <f t="shared" si="0"/>
        <v>46051.829605104162</v>
      </c>
      <c r="F27">
        <f t="shared" si="1"/>
        <v>46052</v>
      </c>
      <c r="G27">
        <f t="shared" si="4"/>
        <v>-0.10418884000682738</v>
      </c>
      <c r="I27">
        <f t="shared" si="5"/>
        <v>-0.10418884000682738</v>
      </c>
      <c r="O27">
        <f t="shared" si="2"/>
        <v>-0.10783680633335518</v>
      </c>
      <c r="Q27" s="2">
        <f t="shared" si="3"/>
        <v>38330.849300000002</v>
      </c>
    </row>
    <row r="28" spans="1:17">
      <c r="A28" s="25" t="s">
        <v>55</v>
      </c>
      <c r="C28" s="19">
        <v>54725.705199999997</v>
      </c>
      <c r="D28" s="19">
        <v>5.0000000000000001E-4</v>
      </c>
      <c r="E28">
        <f t="shared" si="0"/>
        <v>48302.781052615836</v>
      </c>
      <c r="F28">
        <f t="shared" si="1"/>
        <v>48303</v>
      </c>
      <c r="G28">
        <f t="shared" si="4"/>
        <v>-0.13387651000812184</v>
      </c>
      <c r="J28">
        <f>+G28</f>
        <v>-0.13387651000812184</v>
      </c>
      <c r="O28">
        <f t="shared" si="2"/>
        <v>-0.13138495875413247</v>
      </c>
      <c r="Q28" s="2">
        <f t="shared" si="3"/>
        <v>39707.205199999997</v>
      </c>
    </row>
    <row r="29" spans="1:17">
      <c r="A29" s="27" t="s">
        <v>58</v>
      </c>
      <c r="B29" s="28" t="s">
        <v>36</v>
      </c>
      <c r="C29" s="29">
        <v>55508.661399999997</v>
      </c>
      <c r="D29" s="29">
        <v>5.9999999999999995E-4</v>
      </c>
      <c r="E29">
        <f t="shared" si="0"/>
        <v>49583.261189859586</v>
      </c>
      <c r="F29">
        <f t="shared" si="1"/>
        <v>49583.5</v>
      </c>
      <c r="G29">
        <f t="shared" si="4"/>
        <v>-0.14602169500722084</v>
      </c>
      <c r="I29">
        <f>+G29</f>
        <v>-0.14602169500722084</v>
      </c>
      <c r="O29">
        <f t="shared" si="2"/>
        <v>-0.144780520359999</v>
      </c>
      <c r="Q29" s="2">
        <f t="shared" si="3"/>
        <v>40490.161399999997</v>
      </c>
    </row>
    <row r="30" spans="1:17">
      <c r="D30" s="6"/>
      <c r="Q30" s="2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1"/>
  <sheetViews>
    <sheetView topLeftCell="A33" workbookViewId="0">
      <selection activeCell="A28" sqref="A28:D74"/>
    </sheetView>
  </sheetViews>
  <sheetFormatPr defaultRowHeight="12.75"/>
  <cols>
    <col min="1" max="1" width="19.7109375" style="19" customWidth="1"/>
    <col min="2" max="2" width="4.42578125" style="26" customWidth="1"/>
    <col min="3" max="3" width="12.7109375" style="19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19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32" t="s">
        <v>67</v>
      </c>
      <c r="I1" s="33" t="s">
        <v>68</v>
      </c>
      <c r="J1" s="34" t="s">
        <v>69</v>
      </c>
    </row>
    <row r="2" spans="1:16">
      <c r="I2" s="35" t="s">
        <v>70</v>
      </c>
      <c r="J2" s="36" t="s">
        <v>71</v>
      </c>
    </row>
    <row r="3" spans="1:16">
      <c r="A3" s="37" t="s">
        <v>72</v>
      </c>
      <c r="I3" s="35" t="s">
        <v>73</v>
      </c>
      <c r="J3" s="36" t="s">
        <v>74</v>
      </c>
    </row>
    <row r="4" spans="1:16">
      <c r="I4" s="35" t="s">
        <v>75</v>
      </c>
      <c r="J4" s="36" t="s">
        <v>74</v>
      </c>
    </row>
    <row r="5" spans="1:16" ht="13.5" thickBot="1">
      <c r="I5" s="38" t="s">
        <v>76</v>
      </c>
      <c r="J5" s="39" t="s">
        <v>77</v>
      </c>
    </row>
    <row r="10" spans="1:16" ht="13.5" thickBot="1"/>
    <row r="11" spans="1:16" ht="12.75" customHeight="1" thickBot="1">
      <c r="A11" s="19" t="str">
        <f t="shared" ref="A11:A42" si="0">P11</f>
        <v>BAVM 172 </v>
      </c>
      <c r="B11" s="6" t="str">
        <f t="shared" ref="B11:B42" si="1">IF(H11=INT(H11),"I","II")</f>
        <v>I</v>
      </c>
      <c r="C11" s="19">
        <f t="shared" ref="C11:C42" si="2">1*G11</f>
        <v>49571.532599999999</v>
      </c>
      <c r="D11" s="26" t="str">
        <f t="shared" ref="D11:D42" si="3">VLOOKUP(F11,I$1:J$5,2,FALSE)</f>
        <v>vis</v>
      </c>
      <c r="E11" s="40">
        <f>VLOOKUP(C11,Active!C$21:E$972,3,FALSE)</f>
        <v>39874.055696118543</v>
      </c>
      <c r="F11" s="6" t="s">
        <v>76</v>
      </c>
      <c r="G11" s="26" t="str">
        <f t="shared" ref="G11:G42" si="4">MID(I11,3,LEN(I11)-3)</f>
        <v>49571.5326</v>
      </c>
      <c r="H11" s="19">
        <f t="shared" ref="H11:H42" si="5">1*K11</f>
        <v>21392</v>
      </c>
      <c r="I11" s="41" t="s">
        <v>201</v>
      </c>
      <c r="J11" s="42" t="s">
        <v>202</v>
      </c>
      <c r="K11" s="41">
        <v>21392</v>
      </c>
      <c r="L11" s="41" t="s">
        <v>203</v>
      </c>
      <c r="M11" s="42" t="s">
        <v>197</v>
      </c>
      <c r="N11" s="42" t="s">
        <v>198</v>
      </c>
      <c r="O11" s="43" t="s">
        <v>199</v>
      </c>
      <c r="P11" s="44" t="s">
        <v>204</v>
      </c>
    </row>
    <row r="12" spans="1:16" ht="12.75" customHeight="1" thickBot="1">
      <c r="A12" s="19" t="str">
        <f t="shared" si="0"/>
        <v>BAVM 172 </v>
      </c>
      <c r="B12" s="6" t="str">
        <f t="shared" si="1"/>
        <v>I</v>
      </c>
      <c r="C12" s="19">
        <f t="shared" si="2"/>
        <v>50706.375099999997</v>
      </c>
      <c r="D12" s="26" t="str">
        <f t="shared" si="3"/>
        <v>vis</v>
      </c>
      <c r="E12" s="40">
        <f>VLOOKUP(C12,Active!C$21:E$972,3,FALSE)</f>
        <v>41730.055075373122</v>
      </c>
      <c r="F12" s="6" t="s">
        <v>76</v>
      </c>
      <c r="G12" s="26" t="str">
        <f t="shared" si="4"/>
        <v>50706.3751</v>
      </c>
      <c r="H12" s="19">
        <f t="shared" si="5"/>
        <v>23248</v>
      </c>
      <c r="I12" s="41" t="s">
        <v>205</v>
      </c>
      <c r="J12" s="42" t="s">
        <v>206</v>
      </c>
      <c r="K12" s="41">
        <v>23248</v>
      </c>
      <c r="L12" s="41" t="s">
        <v>207</v>
      </c>
      <c r="M12" s="42" t="s">
        <v>197</v>
      </c>
      <c r="N12" s="42" t="s">
        <v>198</v>
      </c>
      <c r="O12" s="43" t="s">
        <v>199</v>
      </c>
      <c r="P12" s="44" t="s">
        <v>204</v>
      </c>
    </row>
    <row r="13" spans="1:16" ht="12.75" customHeight="1" thickBot="1">
      <c r="A13" s="19" t="str">
        <f t="shared" si="0"/>
        <v>BAVM 172 </v>
      </c>
      <c r="B13" s="6" t="str">
        <f t="shared" si="1"/>
        <v>I</v>
      </c>
      <c r="C13" s="19">
        <f t="shared" si="2"/>
        <v>51471.294500000004</v>
      </c>
      <c r="D13" s="26" t="str">
        <f t="shared" si="3"/>
        <v>vis</v>
      </c>
      <c r="E13" s="40">
        <f>VLOOKUP(C13,Active!C$21:E$972,3,FALSE)</f>
        <v>42981.056806080072</v>
      </c>
      <c r="F13" s="6" t="s">
        <v>76</v>
      </c>
      <c r="G13" s="26" t="str">
        <f t="shared" si="4"/>
        <v>51471.2945</v>
      </c>
      <c r="H13" s="19">
        <f t="shared" si="5"/>
        <v>24499</v>
      </c>
      <c r="I13" s="41" t="s">
        <v>208</v>
      </c>
      <c r="J13" s="42" t="s">
        <v>209</v>
      </c>
      <c r="K13" s="41">
        <v>24499</v>
      </c>
      <c r="L13" s="41" t="s">
        <v>210</v>
      </c>
      <c r="M13" s="42" t="s">
        <v>197</v>
      </c>
      <c r="N13" s="42" t="s">
        <v>198</v>
      </c>
      <c r="O13" s="43" t="s">
        <v>211</v>
      </c>
      <c r="P13" s="44" t="s">
        <v>204</v>
      </c>
    </row>
    <row r="14" spans="1:16" ht="12.75" customHeight="1" thickBot="1">
      <c r="A14" s="19" t="str">
        <f t="shared" si="0"/>
        <v>BAVM 172 </v>
      </c>
      <c r="B14" s="6" t="str">
        <f t="shared" si="1"/>
        <v>I</v>
      </c>
      <c r="C14" s="19">
        <f t="shared" si="2"/>
        <v>51834.491900000001</v>
      </c>
      <c r="D14" s="26" t="str">
        <f t="shared" si="3"/>
        <v>vis</v>
      </c>
      <c r="E14" s="40">
        <f>VLOOKUP(C14,Active!C$21:E$972,3,FALSE)</f>
        <v>43575.054782845022</v>
      </c>
      <c r="F14" s="6" t="s">
        <v>76</v>
      </c>
      <c r="G14" s="26" t="str">
        <f t="shared" si="4"/>
        <v>51834.4919</v>
      </c>
      <c r="H14" s="19">
        <f t="shared" si="5"/>
        <v>25093</v>
      </c>
      <c r="I14" s="41" t="s">
        <v>212</v>
      </c>
      <c r="J14" s="42" t="s">
        <v>213</v>
      </c>
      <c r="K14" s="41">
        <v>25093</v>
      </c>
      <c r="L14" s="41" t="s">
        <v>214</v>
      </c>
      <c r="M14" s="42" t="s">
        <v>197</v>
      </c>
      <c r="N14" s="42" t="s">
        <v>198</v>
      </c>
      <c r="O14" s="43" t="s">
        <v>215</v>
      </c>
      <c r="P14" s="44" t="s">
        <v>204</v>
      </c>
    </row>
    <row r="15" spans="1:16" ht="12.75" customHeight="1" thickBot="1">
      <c r="A15" s="19" t="str">
        <f t="shared" si="0"/>
        <v>IBVS 5603 </v>
      </c>
      <c r="B15" s="6" t="str">
        <f t="shared" si="1"/>
        <v>I</v>
      </c>
      <c r="C15" s="19">
        <f t="shared" si="2"/>
        <v>53267.718800000002</v>
      </c>
      <c r="D15" s="26" t="str">
        <f t="shared" si="3"/>
        <v>vis</v>
      </c>
      <c r="E15" s="40">
        <f>VLOOKUP(C15,Active!C$21:E$972,3,FALSE)</f>
        <v>45919.052506521199</v>
      </c>
      <c r="F15" s="6" t="s">
        <v>76</v>
      </c>
      <c r="G15" s="26" t="str">
        <f t="shared" si="4"/>
        <v>53267.7188</v>
      </c>
      <c r="H15" s="19">
        <f t="shared" si="5"/>
        <v>27437</v>
      </c>
      <c r="I15" s="41" t="s">
        <v>222</v>
      </c>
      <c r="J15" s="42" t="s">
        <v>223</v>
      </c>
      <c r="K15" s="41">
        <v>27437</v>
      </c>
      <c r="L15" s="41" t="s">
        <v>224</v>
      </c>
      <c r="M15" s="42" t="s">
        <v>197</v>
      </c>
      <c r="N15" s="42" t="s">
        <v>219</v>
      </c>
      <c r="O15" s="43" t="s">
        <v>225</v>
      </c>
      <c r="P15" s="44" t="s">
        <v>226</v>
      </c>
    </row>
    <row r="16" spans="1:16" ht="12.75" customHeight="1" thickBot="1">
      <c r="A16" s="19" t="str">
        <f t="shared" si="0"/>
        <v>BAVM 173 </v>
      </c>
      <c r="B16" s="6" t="str">
        <f t="shared" si="1"/>
        <v>II</v>
      </c>
      <c r="C16" s="19">
        <f t="shared" si="2"/>
        <v>53349.349300000002</v>
      </c>
      <c r="D16" s="26" t="str">
        <f t="shared" si="3"/>
        <v>vis</v>
      </c>
      <c r="E16" s="40">
        <f>VLOOKUP(C16,Active!C$21:E$972,3,FALSE)</f>
        <v>46052.556633594548</v>
      </c>
      <c r="F16" s="6" t="s">
        <v>76</v>
      </c>
      <c r="G16" s="26" t="str">
        <f t="shared" si="4"/>
        <v>53349.3493</v>
      </c>
      <c r="H16" s="19">
        <f t="shared" si="5"/>
        <v>27570.5</v>
      </c>
      <c r="I16" s="41" t="s">
        <v>227</v>
      </c>
      <c r="J16" s="42" t="s">
        <v>228</v>
      </c>
      <c r="K16" s="41">
        <v>27570.5</v>
      </c>
      <c r="L16" s="41" t="s">
        <v>229</v>
      </c>
      <c r="M16" s="42" t="s">
        <v>197</v>
      </c>
      <c r="N16" s="42" t="s">
        <v>230</v>
      </c>
      <c r="O16" s="43" t="s">
        <v>231</v>
      </c>
      <c r="P16" s="44" t="s">
        <v>232</v>
      </c>
    </row>
    <row r="17" spans="1:16" ht="12.75" customHeight="1" thickBot="1">
      <c r="A17" s="19" t="str">
        <f t="shared" si="0"/>
        <v>BAVM 183 </v>
      </c>
      <c r="B17" s="6" t="str">
        <f t="shared" si="1"/>
        <v>I</v>
      </c>
      <c r="C17" s="19">
        <f t="shared" si="2"/>
        <v>54017.349099999999</v>
      </c>
      <c r="D17" s="26" t="str">
        <f t="shared" si="3"/>
        <v>vis</v>
      </c>
      <c r="E17" s="40">
        <f>VLOOKUP(C17,Active!C$21:E$972,3,FALSE)</f>
        <v>47145.049392847206</v>
      </c>
      <c r="F17" s="6" t="s">
        <v>76</v>
      </c>
      <c r="G17" s="26" t="str">
        <f t="shared" si="4"/>
        <v>54017.3491</v>
      </c>
      <c r="H17" s="19">
        <f t="shared" si="5"/>
        <v>28663</v>
      </c>
      <c r="I17" s="41" t="s">
        <v>233</v>
      </c>
      <c r="J17" s="42" t="s">
        <v>234</v>
      </c>
      <c r="K17" s="41" t="s">
        <v>235</v>
      </c>
      <c r="L17" s="41" t="s">
        <v>236</v>
      </c>
      <c r="M17" s="42" t="s">
        <v>237</v>
      </c>
      <c r="N17" s="42" t="s">
        <v>230</v>
      </c>
      <c r="O17" s="43" t="s">
        <v>231</v>
      </c>
      <c r="P17" s="44" t="s">
        <v>238</v>
      </c>
    </row>
    <row r="18" spans="1:16" ht="12.75" customHeight="1" thickBot="1">
      <c r="A18" s="19" t="str">
        <f t="shared" si="0"/>
        <v>BAVM 186 </v>
      </c>
      <c r="B18" s="6" t="str">
        <f t="shared" si="1"/>
        <v>I</v>
      </c>
      <c r="C18" s="19">
        <f t="shared" si="2"/>
        <v>54026.520900000003</v>
      </c>
      <c r="D18" s="26" t="str">
        <f t="shared" si="3"/>
        <v>vis</v>
      </c>
      <c r="E18" s="40">
        <f>VLOOKUP(C18,Active!C$21:E$972,3,FALSE)</f>
        <v>47160.049584597742</v>
      </c>
      <c r="F18" s="6" t="s">
        <v>76</v>
      </c>
      <c r="G18" s="26" t="str">
        <f t="shared" si="4"/>
        <v>54026.5209</v>
      </c>
      <c r="H18" s="19">
        <f t="shared" si="5"/>
        <v>28678</v>
      </c>
      <c r="I18" s="41" t="s">
        <v>239</v>
      </c>
      <c r="J18" s="42" t="s">
        <v>240</v>
      </c>
      <c r="K18" s="41" t="s">
        <v>241</v>
      </c>
      <c r="L18" s="41" t="s">
        <v>242</v>
      </c>
      <c r="M18" s="42" t="s">
        <v>237</v>
      </c>
      <c r="N18" s="42" t="s">
        <v>230</v>
      </c>
      <c r="O18" s="43" t="s">
        <v>215</v>
      </c>
      <c r="P18" s="44" t="s">
        <v>243</v>
      </c>
    </row>
    <row r="19" spans="1:16" ht="12.75" customHeight="1" thickBot="1">
      <c r="A19" s="19" t="str">
        <f t="shared" si="0"/>
        <v>IBVS 5875 </v>
      </c>
      <c r="B19" s="6" t="str">
        <f t="shared" si="1"/>
        <v>II</v>
      </c>
      <c r="C19" s="19">
        <f t="shared" si="2"/>
        <v>54725.705199999997</v>
      </c>
      <c r="D19" s="26" t="str">
        <f t="shared" si="3"/>
        <v>vis</v>
      </c>
      <c r="E19" s="40">
        <f>VLOOKUP(C19,Active!C$21:E$972,3,FALSE)</f>
        <v>48303.54361728028</v>
      </c>
      <c r="F19" s="6" t="s">
        <v>76</v>
      </c>
      <c r="G19" s="26" t="str">
        <f t="shared" si="4"/>
        <v>54725.7052</v>
      </c>
      <c r="H19" s="19">
        <f t="shared" si="5"/>
        <v>29821.5</v>
      </c>
      <c r="I19" s="41" t="s">
        <v>244</v>
      </c>
      <c r="J19" s="42" t="s">
        <v>245</v>
      </c>
      <c r="K19" s="41" t="s">
        <v>246</v>
      </c>
      <c r="L19" s="41" t="s">
        <v>247</v>
      </c>
      <c r="M19" s="42" t="s">
        <v>237</v>
      </c>
      <c r="N19" s="42" t="s">
        <v>68</v>
      </c>
      <c r="O19" s="43" t="s">
        <v>248</v>
      </c>
      <c r="P19" s="44" t="s">
        <v>249</v>
      </c>
    </row>
    <row r="20" spans="1:16" ht="12.75" customHeight="1" thickBot="1">
      <c r="A20" s="19" t="str">
        <f t="shared" si="0"/>
        <v>IBVS 5960 </v>
      </c>
      <c r="B20" s="6" t="str">
        <f t="shared" si="1"/>
        <v>I</v>
      </c>
      <c r="C20" s="19">
        <f t="shared" si="2"/>
        <v>55508.661399999997</v>
      </c>
      <c r="D20" s="26" t="str">
        <f t="shared" si="3"/>
        <v>vis</v>
      </c>
      <c r="E20" s="40">
        <f>VLOOKUP(C20,Active!C$21:E$972,3,FALSE)</f>
        <v>49584.043969693528</v>
      </c>
      <c r="F20" s="6" t="s">
        <v>76</v>
      </c>
      <c r="G20" s="26" t="str">
        <f t="shared" si="4"/>
        <v>55508.6614</v>
      </c>
      <c r="H20" s="19">
        <f t="shared" si="5"/>
        <v>31102</v>
      </c>
      <c r="I20" s="41" t="s">
        <v>279</v>
      </c>
      <c r="J20" s="42" t="s">
        <v>280</v>
      </c>
      <c r="K20" s="41" t="s">
        <v>281</v>
      </c>
      <c r="L20" s="41" t="s">
        <v>282</v>
      </c>
      <c r="M20" s="42" t="s">
        <v>237</v>
      </c>
      <c r="N20" s="42" t="s">
        <v>76</v>
      </c>
      <c r="O20" s="43" t="s">
        <v>283</v>
      </c>
      <c r="P20" s="44" t="s">
        <v>284</v>
      </c>
    </row>
    <row r="21" spans="1:16" ht="12.75" customHeight="1" thickBot="1">
      <c r="A21" s="19" t="str">
        <f t="shared" si="0"/>
        <v>BAVM 215 </v>
      </c>
      <c r="B21" s="6" t="str">
        <f t="shared" si="1"/>
        <v>II</v>
      </c>
      <c r="C21" s="19">
        <f t="shared" si="2"/>
        <v>55514.472399999999</v>
      </c>
      <c r="D21" s="26" t="str">
        <f t="shared" si="3"/>
        <v>vis</v>
      </c>
      <c r="E21" s="40">
        <f>VLOOKUP(C21,Active!C$21:E$972,3,FALSE)</f>
        <v>49593.547678263531</v>
      </c>
      <c r="F21" s="6" t="s">
        <v>76</v>
      </c>
      <c r="G21" s="26" t="str">
        <f t="shared" si="4"/>
        <v>55514.4724</v>
      </c>
      <c r="H21" s="19">
        <f t="shared" si="5"/>
        <v>31111.5</v>
      </c>
      <c r="I21" s="41" t="s">
        <v>285</v>
      </c>
      <c r="J21" s="42" t="s">
        <v>286</v>
      </c>
      <c r="K21" s="41" t="s">
        <v>287</v>
      </c>
      <c r="L21" s="41" t="s">
        <v>288</v>
      </c>
      <c r="M21" s="42" t="s">
        <v>237</v>
      </c>
      <c r="N21" s="42" t="s">
        <v>230</v>
      </c>
      <c r="O21" s="43" t="s">
        <v>231</v>
      </c>
      <c r="P21" s="44" t="s">
        <v>289</v>
      </c>
    </row>
    <row r="22" spans="1:16" ht="12.75" customHeight="1" thickBot="1">
      <c r="A22" s="19" t="str">
        <f t="shared" si="0"/>
        <v>BAVM 220 </v>
      </c>
      <c r="B22" s="6" t="str">
        <f t="shared" si="1"/>
        <v>I</v>
      </c>
      <c r="C22" s="19">
        <f t="shared" si="2"/>
        <v>55776.474099999999</v>
      </c>
      <c r="D22" s="26" t="str">
        <f t="shared" si="3"/>
        <v>vis</v>
      </c>
      <c r="E22" s="40">
        <f>VLOOKUP(C22,Active!C$21:E$972,3,FALSE)</f>
        <v>50022.043255899764</v>
      </c>
      <c r="F22" s="6" t="s">
        <v>76</v>
      </c>
      <c r="G22" s="26" t="str">
        <f t="shared" si="4"/>
        <v>55776.4741</v>
      </c>
      <c r="H22" s="19">
        <f t="shared" si="5"/>
        <v>31540</v>
      </c>
      <c r="I22" s="41" t="s">
        <v>290</v>
      </c>
      <c r="J22" s="42" t="s">
        <v>291</v>
      </c>
      <c r="K22" s="41" t="s">
        <v>292</v>
      </c>
      <c r="L22" s="41" t="s">
        <v>293</v>
      </c>
      <c r="M22" s="42" t="s">
        <v>237</v>
      </c>
      <c r="N22" s="42" t="s">
        <v>230</v>
      </c>
      <c r="O22" s="43" t="s">
        <v>231</v>
      </c>
      <c r="P22" s="44" t="s">
        <v>294</v>
      </c>
    </row>
    <row r="23" spans="1:16" ht="12.75" customHeight="1" thickBot="1">
      <c r="A23" s="19" t="str">
        <f t="shared" si="0"/>
        <v>OEJV 0160 </v>
      </c>
      <c r="B23" s="6" t="str">
        <f t="shared" si="1"/>
        <v>I</v>
      </c>
      <c r="C23" s="19">
        <f t="shared" si="2"/>
        <v>55833.335319999998</v>
      </c>
      <c r="D23" s="26" t="str">
        <f t="shared" si="3"/>
        <v>vis</v>
      </c>
      <c r="E23" s="40">
        <f>VLOOKUP(C23,Active!C$21:E$972,3,FALSE)</f>
        <v>50115.038001006382</v>
      </c>
      <c r="F23" s="6" t="s">
        <v>76</v>
      </c>
      <c r="G23" s="26" t="str">
        <f t="shared" si="4"/>
        <v>55833.33532</v>
      </c>
      <c r="H23" s="19">
        <f t="shared" si="5"/>
        <v>31633</v>
      </c>
      <c r="I23" s="41" t="s">
        <v>295</v>
      </c>
      <c r="J23" s="42" t="s">
        <v>296</v>
      </c>
      <c r="K23" s="41" t="s">
        <v>297</v>
      </c>
      <c r="L23" s="41" t="s">
        <v>298</v>
      </c>
      <c r="M23" s="42" t="s">
        <v>237</v>
      </c>
      <c r="N23" s="42" t="s">
        <v>276</v>
      </c>
      <c r="O23" s="43" t="s">
        <v>277</v>
      </c>
      <c r="P23" s="44" t="s">
        <v>299</v>
      </c>
    </row>
    <row r="24" spans="1:16" ht="12.75" customHeight="1" thickBot="1">
      <c r="A24" s="19" t="str">
        <f t="shared" si="0"/>
        <v>OEJV 0160 </v>
      </c>
      <c r="B24" s="6" t="str">
        <f t="shared" si="1"/>
        <v>II</v>
      </c>
      <c r="C24" s="19">
        <f t="shared" si="2"/>
        <v>56159.541899999997</v>
      </c>
      <c r="D24" s="26" t="str">
        <f t="shared" si="3"/>
        <v>vis</v>
      </c>
      <c r="E24" s="40">
        <f>VLOOKUP(C24,Active!C$21:E$972,3,FALSE)</f>
        <v>50648.538649764916</v>
      </c>
      <c r="F24" s="6" t="s">
        <v>76</v>
      </c>
      <c r="G24" s="26" t="str">
        <f t="shared" si="4"/>
        <v>56159.5419</v>
      </c>
      <c r="H24" s="19">
        <f t="shared" si="5"/>
        <v>32166.5</v>
      </c>
      <c r="I24" s="41" t="s">
        <v>309</v>
      </c>
      <c r="J24" s="42" t="s">
        <v>310</v>
      </c>
      <c r="K24" s="41" t="s">
        <v>311</v>
      </c>
      <c r="L24" s="41" t="s">
        <v>312</v>
      </c>
      <c r="M24" s="42" t="s">
        <v>237</v>
      </c>
      <c r="N24" s="42" t="s">
        <v>276</v>
      </c>
      <c r="O24" s="43" t="s">
        <v>277</v>
      </c>
      <c r="P24" s="44" t="s">
        <v>299</v>
      </c>
    </row>
    <row r="25" spans="1:16" ht="12.75" customHeight="1" thickBot="1">
      <c r="A25" s="19" t="str">
        <f t="shared" si="0"/>
        <v>IBVS 6042 </v>
      </c>
      <c r="B25" s="6" t="str">
        <f t="shared" si="1"/>
        <v>I</v>
      </c>
      <c r="C25" s="19">
        <f t="shared" si="2"/>
        <v>56246.671199999997</v>
      </c>
      <c r="D25" s="26" t="str">
        <f t="shared" si="3"/>
        <v>vis</v>
      </c>
      <c r="E25" s="40">
        <f>VLOOKUP(C25,Active!C$21:E$972,3,FALSE)</f>
        <v>50791.035892082589</v>
      </c>
      <c r="F25" s="6" t="s">
        <v>76</v>
      </c>
      <c r="G25" s="26" t="str">
        <f t="shared" si="4"/>
        <v>56246.6712</v>
      </c>
      <c r="H25" s="19">
        <f t="shared" si="5"/>
        <v>32309</v>
      </c>
      <c r="I25" s="41" t="s">
        <v>313</v>
      </c>
      <c r="J25" s="42" t="s">
        <v>314</v>
      </c>
      <c r="K25" s="41" t="s">
        <v>315</v>
      </c>
      <c r="L25" s="41" t="s">
        <v>316</v>
      </c>
      <c r="M25" s="42" t="s">
        <v>237</v>
      </c>
      <c r="N25" s="42" t="s">
        <v>76</v>
      </c>
      <c r="O25" s="43" t="s">
        <v>283</v>
      </c>
      <c r="P25" s="44" t="s">
        <v>317</v>
      </c>
    </row>
    <row r="26" spans="1:16" ht="12.75" customHeight="1" thickBot="1">
      <c r="A26" s="19" t="str">
        <f t="shared" si="0"/>
        <v>BAVM 234 </v>
      </c>
      <c r="B26" s="6" t="str">
        <f t="shared" si="1"/>
        <v>I</v>
      </c>
      <c r="C26" s="19">
        <f t="shared" si="2"/>
        <v>56585.411999999997</v>
      </c>
      <c r="D26" s="26" t="str">
        <f t="shared" si="3"/>
        <v>vis</v>
      </c>
      <c r="E26" s="40">
        <f>VLOOKUP(C26,Active!C$21:E$972,3,FALSE)</f>
        <v>51345.035865231461</v>
      </c>
      <c r="F26" s="6" t="s">
        <v>76</v>
      </c>
      <c r="G26" s="26" t="str">
        <f t="shared" si="4"/>
        <v>56585.412</v>
      </c>
      <c r="H26" s="19">
        <f t="shared" si="5"/>
        <v>32863</v>
      </c>
      <c r="I26" s="41" t="s">
        <v>318</v>
      </c>
      <c r="J26" s="42" t="s">
        <v>319</v>
      </c>
      <c r="K26" s="41" t="s">
        <v>320</v>
      </c>
      <c r="L26" s="41" t="s">
        <v>321</v>
      </c>
      <c r="M26" s="42" t="s">
        <v>237</v>
      </c>
      <c r="N26" s="42" t="s">
        <v>230</v>
      </c>
      <c r="O26" s="43" t="s">
        <v>231</v>
      </c>
      <c r="P26" s="44" t="s">
        <v>322</v>
      </c>
    </row>
    <row r="27" spans="1:16" ht="12.75" customHeight="1" thickBot="1">
      <c r="A27" s="19" t="str">
        <f t="shared" si="0"/>
        <v>BAVM 239 </v>
      </c>
      <c r="B27" s="6" t="str">
        <f t="shared" si="1"/>
        <v>I</v>
      </c>
      <c r="C27" s="19">
        <f t="shared" si="2"/>
        <v>56950.444199999998</v>
      </c>
      <c r="D27" s="26" t="str">
        <f t="shared" si="3"/>
        <v>vis</v>
      </c>
      <c r="E27" s="40">
        <f>VLOOKUP(C27,Active!C$21:E$972,3,FALSE)</f>
        <v>51942.034599952742</v>
      </c>
      <c r="F27" s="6" t="s">
        <v>76</v>
      </c>
      <c r="G27" s="26" t="str">
        <f t="shared" si="4"/>
        <v>56950.4442</v>
      </c>
      <c r="H27" s="19">
        <f t="shared" si="5"/>
        <v>33460</v>
      </c>
      <c r="I27" s="41" t="s">
        <v>323</v>
      </c>
      <c r="J27" s="42" t="s">
        <v>324</v>
      </c>
      <c r="K27" s="41" t="s">
        <v>325</v>
      </c>
      <c r="L27" s="41" t="s">
        <v>326</v>
      </c>
      <c r="M27" s="42" t="s">
        <v>237</v>
      </c>
      <c r="N27" s="42" t="s">
        <v>230</v>
      </c>
      <c r="O27" s="43" t="s">
        <v>231</v>
      </c>
      <c r="P27" s="44" t="s">
        <v>327</v>
      </c>
    </row>
    <row r="28" spans="1:16" ht="12.75" customHeight="1" thickBot="1">
      <c r="A28" s="19" t="str">
        <f t="shared" si="0"/>
        <v> PZ 13.376 </v>
      </c>
      <c r="B28" s="6" t="str">
        <f t="shared" si="1"/>
        <v>I</v>
      </c>
      <c r="C28" s="19">
        <f t="shared" si="2"/>
        <v>28408.584999999999</v>
      </c>
      <c r="D28" s="26" t="str">
        <f t="shared" si="3"/>
        <v>vis</v>
      </c>
      <c r="E28" s="40">
        <f>VLOOKUP(C28,Active!C$21:E$972,3,FALSE)</f>
        <v>5262.7174630180461</v>
      </c>
      <c r="F28" s="6" t="s">
        <v>76</v>
      </c>
      <c r="G28" s="26" t="str">
        <f t="shared" si="4"/>
        <v>28408.585</v>
      </c>
      <c r="H28" s="19">
        <f t="shared" si="5"/>
        <v>-13219</v>
      </c>
      <c r="I28" s="41" t="s">
        <v>80</v>
      </c>
      <c r="J28" s="42" t="s">
        <v>81</v>
      </c>
      <c r="K28" s="41">
        <v>-13219</v>
      </c>
      <c r="L28" s="41" t="s">
        <v>82</v>
      </c>
      <c r="M28" s="42" t="s">
        <v>83</v>
      </c>
      <c r="N28" s="42"/>
      <c r="O28" s="43" t="s">
        <v>84</v>
      </c>
      <c r="P28" s="43" t="s">
        <v>85</v>
      </c>
    </row>
    <row r="29" spans="1:16" ht="12.75" customHeight="1" thickBot="1">
      <c r="A29" s="19" t="str">
        <f t="shared" si="0"/>
        <v> PZ 13.376 </v>
      </c>
      <c r="B29" s="6" t="str">
        <f t="shared" si="1"/>
        <v>I</v>
      </c>
      <c r="C29" s="19">
        <f t="shared" si="2"/>
        <v>28427.519</v>
      </c>
      <c r="D29" s="26" t="str">
        <f t="shared" si="3"/>
        <v>vis</v>
      </c>
      <c r="E29" s="40">
        <f>VLOOKUP(C29,Active!C$21:E$972,3,FALSE)</f>
        <v>5293.6834272349388</v>
      </c>
      <c r="F29" s="6" t="s">
        <v>76</v>
      </c>
      <c r="G29" s="26" t="str">
        <f t="shared" si="4"/>
        <v>28427.519</v>
      </c>
      <c r="H29" s="19">
        <f t="shared" si="5"/>
        <v>-13188</v>
      </c>
      <c r="I29" s="41" t="s">
        <v>86</v>
      </c>
      <c r="J29" s="42" t="s">
        <v>87</v>
      </c>
      <c r="K29" s="41">
        <v>-13188</v>
      </c>
      <c r="L29" s="41" t="s">
        <v>88</v>
      </c>
      <c r="M29" s="42" t="s">
        <v>83</v>
      </c>
      <c r="N29" s="42"/>
      <c r="O29" s="43" t="s">
        <v>84</v>
      </c>
      <c r="P29" s="43" t="s">
        <v>85</v>
      </c>
    </row>
    <row r="30" spans="1:16" ht="12.75" customHeight="1" thickBot="1">
      <c r="A30" s="19" t="str">
        <f t="shared" si="0"/>
        <v> PZ 13.376 </v>
      </c>
      <c r="B30" s="6" t="str">
        <f t="shared" si="1"/>
        <v>I</v>
      </c>
      <c r="C30" s="19">
        <f t="shared" si="2"/>
        <v>28593.207999999999</v>
      </c>
      <c r="D30" s="26" t="str">
        <f t="shared" si="3"/>
        <v>vis</v>
      </c>
      <c r="E30" s="40">
        <f>VLOOKUP(C30,Active!C$21:E$972,3,FALSE)</f>
        <v>5564.6625993661464</v>
      </c>
      <c r="F30" s="6" t="s">
        <v>76</v>
      </c>
      <c r="G30" s="26" t="str">
        <f t="shared" si="4"/>
        <v>28593.208</v>
      </c>
      <c r="H30" s="19">
        <f t="shared" si="5"/>
        <v>-12917</v>
      </c>
      <c r="I30" s="41" t="s">
        <v>89</v>
      </c>
      <c r="J30" s="42" t="s">
        <v>90</v>
      </c>
      <c r="K30" s="41">
        <v>-12917</v>
      </c>
      <c r="L30" s="41" t="s">
        <v>91</v>
      </c>
      <c r="M30" s="42" t="s">
        <v>83</v>
      </c>
      <c r="N30" s="42"/>
      <c r="O30" s="43" t="s">
        <v>92</v>
      </c>
      <c r="P30" s="43" t="s">
        <v>85</v>
      </c>
    </row>
    <row r="31" spans="1:16" ht="12.75" customHeight="1" thickBot="1">
      <c r="A31" s="19" t="str">
        <f t="shared" si="0"/>
        <v> PZ 13.376 </v>
      </c>
      <c r="B31" s="6" t="str">
        <f t="shared" si="1"/>
        <v>I</v>
      </c>
      <c r="C31" s="19">
        <f t="shared" si="2"/>
        <v>28808.488000000001</v>
      </c>
      <c r="D31" s="26" t="str">
        <f t="shared" si="3"/>
        <v>vis</v>
      </c>
      <c r="E31" s="40">
        <f>VLOOKUP(C31,Active!C$21:E$972,3,FALSE)</f>
        <v>5916.7462994090438</v>
      </c>
      <c r="F31" s="6" t="s">
        <v>76</v>
      </c>
      <c r="G31" s="26" t="str">
        <f t="shared" si="4"/>
        <v>28808.488</v>
      </c>
      <c r="H31" s="19">
        <f t="shared" si="5"/>
        <v>-12565</v>
      </c>
      <c r="I31" s="41" t="s">
        <v>93</v>
      </c>
      <c r="J31" s="42" t="s">
        <v>94</v>
      </c>
      <c r="K31" s="41">
        <v>-12565</v>
      </c>
      <c r="L31" s="41" t="s">
        <v>95</v>
      </c>
      <c r="M31" s="42" t="s">
        <v>83</v>
      </c>
      <c r="N31" s="42"/>
      <c r="O31" s="43" t="s">
        <v>84</v>
      </c>
      <c r="P31" s="43" t="s">
        <v>85</v>
      </c>
    </row>
    <row r="32" spans="1:16" ht="12.75" customHeight="1" thickBot="1">
      <c r="A32" s="19" t="str">
        <f t="shared" si="0"/>
        <v> PZ 13.376 </v>
      </c>
      <c r="B32" s="6" t="str">
        <f t="shared" si="1"/>
        <v>I</v>
      </c>
      <c r="C32" s="19">
        <f t="shared" si="2"/>
        <v>29162.52</v>
      </c>
      <c r="D32" s="26" t="str">
        <f t="shared" si="3"/>
        <v>vis</v>
      </c>
      <c r="E32" s="40">
        <f>VLOOKUP(C32,Active!C$21:E$972,3,FALSE)</f>
        <v>6495.7545514230978</v>
      </c>
      <c r="F32" s="6" t="s">
        <v>76</v>
      </c>
      <c r="G32" s="26" t="str">
        <f t="shared" si="4"/>
        <v>29162.520</v>
      </c>
      <c r="H32" s="19">
        <f t="shared" si="5"/>
        <v>-11986</v>
      </c>
      <c r="I32" s="41" t="s">
        <v>96</v>
      </c>
      <c r="J32" s="42" t="s">
        <v>97</v>
      </c>
      <c r="K32" s="41">
        <v>-11986</v>
      </c>
      <c r="L32" s="41" t="s">
        <v>95</v>
      </c>
      <c r="M32" s="42" t="s">
        <v>83</v>
      </c>
      <c r="N32" s="42"/>
      <c r="O32" s="43" t="s">
        <v>84</v>
      </c>
      <c r="P32" s="43" t="s">
        <v>85</v>
      </c>
    </row>
    <row r="33" spans="1:16" ht="12.75" customHeight="1" thickBot="1">
      <c r="A33" s="19" t="str">
        <f t="shared" si="0"/>
        <v> PZ 13.376 </v>
      </c>
      <c r="B33" s="6" t="str">
        <f t="shared" si="1"/>
        <v>I</v>
      </c>
      <c r="C33" s="19">
        <f t="shared" si="2"/>
        <v>29165.506000000001</v>
      </c>
      <c r="D33" s="26" t="str">
        <f t="shared" si="3"/>
        <v>vis</v>
      </c>
      <c r="E33" s="40">
        <f>VLOOKUP(C33,Active!C$21:E$972,3,FALSE)</f>
        <v>6500.6380609378148</v>
      </c>
      <c r="F33" s="6" t="s">
        <v>76</v>
      </c>
      <c r="G33" s="26" t="str">
        <f t="shared" si="4"/>
        <v>29165.506</v>
      </c>
      <c r="H33" s="19">
        <f t="shared" si="5"/>
        <v>-11981</v>
      </c>
      <c r="I33" s="41" t="s">
        <v>98</v>
      </c>
      <c r="J33" s="42" t="s">
        <v>99</v>
      </c>
      <c r="K33" s="41">
        <v>-11981</v>
      </c>
      <c r="L33" s="41" t="s">
        <v>100</v>
      </c>
      <c r="M33" s="42" t="s">
        <v>83</v>
      </c>
      <c r="N33" s="42"/>
      <c r="O33" s="43" t="s">
        <v>84</v>
      </c>
      <c r="P33" s="43" t="s">
        <v>85</v>
      </c>
    </row>
    <row r="34" spans="1:16" ht="12.75" customHeight="1" thickBot="1">
      <c r="A34" s="19" t="str">
        <f t="shared" si="0"/>
        <v> PZ 13.376 </v>
      </c>
      <c r="B34" s="6" t="str">
        <f t="shared" si="1"/>
        <v>I</v>
      </c>
      <c r="C34" s="19">
        <f t="shared" si="2"/>
        <v>29491.424999999999</v>
      </c>
      <c r="D34" s="26" t="str">
        <f t="shared" si="3"/>
        <v>vis</v>
      </c>
      <c r="E34" s="40">
        <f>VLOOKUP(C34,Active!C$21:E$972,3,FALSE)</f>
        <v>7033.6683816098657</v>
      </c>
      <c r="F34" s="6" t="s">
        <v>76</v>
      </c>
      <c r="G34" s="26" t="str">
        <f t="shared" si="4"/>
        <v>29491.425</v>
      </c>
      <c r="H34" s="19">
        <f t="shared" si="5"/>
        <v>-11448</v>
      </c>
      <c r="I34" s="41" t="s">
        <v>101</v>
      </c>
      <c r="J34" s="42" t="s">
        <v>102</v>
      </c>
      <c r="K34" s="41">
        <v>-11448</v>
      </c>
      <c r="L34" s="41" t="s">
        <v>103</v>
      </c>
      <c r="M34" s="42" t="s">
        <v>83</v>
      </c>
      <c r="N34" s="42"/>
      <c r="O34" s="43" t="s">
        <v>84</v>
      </c>
      <c r="P34" s="43" t="s">
        <v>85</v>
      </c>
    </row>
    <row r="35" spans="1:16" ht="12.75" customHeight="1" thickBot="1">
      <c r="A35" s="19" t="str">
        <f t="shared" si="0"/>
        <v> PZ 13.376 </v>
      </c>
      <c r="B35" s="6" t="str">
        <f t="shared" si="1"/>
        <v>I</v>
      </c>
      <c r="C35" s="19">
        <f t="shared" si="2"/>
        <v>29521.405999999999</v>
      </c>
      <c r="D35" s="26" t="str">
        <f t="shared" si="3"/>
        <v>vis</v>
      </c>
      <c r="E35" s="40">
        <f>VLOOKUP(C35,Active!C$21:E$972,3,FALSE)</f>
        <v>7082.7013684687745</v>
      </c>
      <c r="F35" s="6" t="s">
        <v>76</v>
      </c>
      <c r="G35" s="26" t="str">
        <f t="shared" si="4"/>
        <v>29521.406</v>
      </c>
      <c r="H35" s="19">
        <f t="shared" si="5"/>
        <v>-11399</v>
      </c>
      <c r="I35" s="41" t="s">
        <v>104</v>
      </c>
      <c r="J35" s="42" t="s">
        <v>105</v>
      </c>
      <c r="K35" s="41">
        <v>-11399</v>
      </c>
      <c r="L35" s="41" t="s">
        <v>106</v>
      </c>
      <c r="M35" s="42" t="s">
        <v>83</v>
      </c>
      <c r="N35" s="42"/>
      <c r="O35" s="43" t="s">
        <v>92</v>
      </c>
      <c r="P35" s="43" t="s">
        <v>85</v>
      </c>
    </row>
    <row r="36" spans="1:16" ht="12.75" customHeight="1" thickBot="1">
      <c r="A36" s="19" t="str">
        <f t="shared" si="0"/>
        <v> PZ 13.376 </v>
      </c>
      <c r="B36" s="6" t="str">
        <f t="shared" si="1"/>
        <v>I</v>
      </c>
      <c r="C36" s="19">
        <f t="shared" si="2"/>
        <v>29639.312999999998</v>
      </c>
      <c r="D36" s="26" t="str">
        <f t="shared" si="3"/>
        <v>vis</v>
      </c>
      <c r="E36" s="40">
        <f>VLOOKUP(C36,Active!C$21:E$972,3,FALSE)</f>
        <v>7275.534575552374</v>
      </c>
      <c r="F36" s="6" t="s">
        <v>76</v>
      </c>
      <c r="G36" s="26" t="str">
        <f t="shared" si="4"/>
        <v>29639.313</v>
      </c>
      <c r="H36" s="19">
        <f t="shared" si="5"/>
        <v>-11206</v>
      </c>
      <c r="I36" s="41" t="s">
        <v>107</v>
      </c>
      <c r="J36" s="42" t="s">
        <v>108</v>
      </c>
      <c r="K36" s="41">
        <v>-11206</v>
      </c>
      <c r="L36" s="41" t="s">
        <v>109</v>
      </c>
      <c r="M36" s="42" t="s">
        <v>83</v>
      </c>
      <c r="N36" s="42"/>
      <c r="O36" s="43" t="s">
        <v>84</v>
      </c>
      <c r="P36" s="43" t="s">
        <v>85</v>
      </c>
    </row>
    <row r="37" spans="1:16" ht="12.75" customHeight="1" thickBot="1">
      <c r="A37" s="19" t="str">
        <f t="shared" si="0"/>
        <v> PZ 13.376 </v>
      </c>
      <c r="B37" s="6" t="str">
        <f t="shared" si="1"/>
        <v>I</v>
      </c>
      <c r="C37" s="19">
        <f t="shared" si="2"/>
        <v>29721.344000000001</v>
      </c>
      <c r="D37" s="26" t="str">
        <f t="shared" si="3"/>
        <v>vis</v>
      </c>
      <c r="E37" s="40">
        <f>VLOOKUP(C37,Active!C$21:E$972,3,FALSE)</f>
        <v>7409.693707836931</v>
      </c>
      <c r="F37" s="6" t="s">
        <v>76</v>
      </c>
      <c r="G37" s="26" t="str">
        <f t="shared" si="4"/>
        <v>29721.344</v>
      </c>
      <c r="H37" s="19">
        <f t="shared" si="5"/>
        <v>-11072</v>
      </c>
      <c r="I37" s="41" t="s">
        <v>110</v>
      </c>
      <c r="J37" s="42" t="s">
        <v>111</v>
      </c>
      <c r="K37" s="41">
        <v>-11072</v>
      </c>
      <c r="L37" s="41" t="s">
        <v>112</v>
      </c>
      <c r="M37" s="42" t="s">
        <v>83</v>
      </c>
      <c r="N37" s="42"/>
      <c r="O37" s="43" t="s">
        <v>84</v>
      </c>
      <c r="P37" s="43" t="s">
        <v>85</v>
      </c>
    </row>
    <row r="38" spans="1:16" ht="12.75" customHeight="1" thickBot="1">
      <c r="A38" s="19" t="str">
        <f t="shared" si="0"/>
        <v> PZ 13.376 </v>
      </c>
      <c r="B38" s="6" t="str">
        <f t="shared" si="1"/>
        <v>I</v>
      </c>
      <c r="C38" s="19">
        <f t="shared" si="2"/>
        <v>29727.521000000001</v>
      </c>
      <c r="D38" s="26" t="str">
        <f t="shared" si="3"/>
        <v>vis</v>
      </c>
      <c r="E38" s="40">
        <f>VLOOKUP(C38,Active!C$21:E$972,3,FALSE)</f>
        <v>7419.7959979482512</v>
      </c>
      <c r="F38" s="6" t="s">
        <v>76</v>
      </c>
      <c r="G38" s="26" t="str">
        <f t="shared" si="4"/>
        <v>29727.521</v>
      </c>
      <c r="H38" s="19">
        <f t="shared" si="5"/>
        <v>-11062</v>
      </c>
      <c r="I38" s="41" t="s">
        <v>113</v>
      </c>
      <c r="J38" s="42" t="s">
        <v>114</v>
      </c>
      <c r="K38" s="41">
        <v>-11062</v>
      </c>
      <c r="L38" s="41" t="s">
        <v>115</v>
      </c>
      <c r="M38" s="42" t="s">
        <v>83</v>
      </c>
      <c r="N38" s="42"/>
      <c r="O38" s="43" t="s">
        <v>84</v>
      </c>
      <c r="P38" s="43" t="s">
        <v>85</v>
      </c>
    </row>
    <row r="39" spans="1:16" ht="12.75" customHeight="1" thickBot="1">
      <c r="A39" s="19" t="str">
        <f t="shared" si="0"/>
        <v> PZ 13.376 </v>
      </c>
      <c r="B39" s="6" t="str">
        <f t="shared" si="1"/>
        <v>I</v>
      </c>
      <c r="C39" s="19">
        <f t="shared" si="2"/>
        <v>30025.271000000001</v>
      </c>
      <c r="D39" s="26" t="str">
        <f t="shared" si="3"/>
        <v>vis</v>
      </c>
      <c r="E39" s="40">
        <f>VLOOKUP(C39,Active!C$21:E$972,3,FALSE)</f>
        <v>7906.7568010315445</v>
      </c>
      <c r="F39" s="6" t="s">
        <v>76</v>
      </c>
      <c r="G39" s="26" t="str">
        <f t="shared" si="4"/>
        <v>30025.271</v>
      </c>
      <c r="H39" s="19">
        <f t="shared" si="5"/>
        <v>-10575</v>
      </c>
      <c r="I39" s="41" t="s">
        <v>116</v>
      </c>
      <c r="J39" s="42" t="s">
        <v>117</v>
      </c>
      <c r="K39" s="41">
        <v>-10575</v>
      </c>
      <c r="L39" s="41" t="s">
        <v>118</v>
      </c>
      <c r="M39" s="42" t="s">
        <v>83</v>
      </c>
      <c r="N39" s="42"/>
      <c r="O39" s="43" t="s">
        <v>84</v>
      </c>
      <c r="P39" s="43" t="s">
        <v>85</v>
      </c>
    </row>
    <row r="40" spans="1:16" ht="12.75" customHeight="1" thickBot="1">
      <c r="A40" s="19" t="str">
        <f t="shared" si="0"/>
        <v> PZ 13.376 </v>
      </c>
      <c r="B40" s="6" t="str">
        <f t="shared" si="1"/>
        <v>I</v>
      </c>
      <c r="C40" s="19">
        <f t="shared" si="2"/>
        <v>30026.431</v>
      </c>
      <c r="D40" s="26" t="str">
        <f t="shared" si="3"/>
        <v>vis</v>
      </c>
      <c r="E40" s="40">
        <f>VLOOKUP(C40,Active!C$21:E$972,3,FALSE)</f>
        <v>7908.6539447144214</v>
      </c>
      <c r="F40" s="6" t="s">
        <v>76</v>
      </c>
      <c r="G40" s="26" t="str">
        <f t="shared" si="4"/>
        <v>30026.431</v>
      </c>
      <c r="H40" s="19">
        <f t="shared" si="5"/>
        <v>-10573</v>
      </c>
      <c r="I40" s="41" t="s">
        <v>119</v>
      </c>
      <c r="J40" s="42" t="s">
        <v>120</v>
      </c>
      <c r="K40" s="41">
        <v>-10573</v>
      </c>
      <c r="L40" s="41" t="s">
        <v>121</v>
      </c>
      <c r="M40" s="42" t="s">
        <v>83</v>
      </c>
      <c r="N40" s="42"/>
      <c r="O40" s="43" t="s">
        <v>84</v>
      </c>
      <c r="P40" s="43" t="s">
        <v>85</v>
      </c>
    </row>
    <row r="41" spans="1:16" ht="12.75" customHeight="1" thickBot="1">
      <c r="A41" s="19" t="str">
        <f t="shared" si="0"/>
        <v> PZ 13.376 </v>
      </c>
      <c r="B41" s="6" t="str">
        <f t="shared" si="1"/>
        <v>I</v>
      </c>
      <c r="C41" s="19">
        <f t="shared" si="2"/>
        <v>31021.331999999999</v>
      </c>
      <c r="D41" s="26" t="str">
        <f t="shared" si="3"/>
        <v>vis</v>
      </c>
      <c r="E41" s="40">
        <f>VLOOKUP(C41,Active!C$21:E$972,3,FALSE)</f>
        <v>9535.7833819885491</v>
      </c>
      <c r="F41" s="6" t="s">
        <v>76</v>
      </c>
      <c r="G41" s="26" t="str">
        <f t="shared" si="4"/>
        <v>31021.332</v>
      </c>
      <c r="H41" s="19">
        <f t="shared" si="5"/>
        <v>-8946</v>
      </c>
      <c r="I41" s="41" t="s">
        <v>122</v>
      </c>
      <c r="J41" s="42" t="s">
        <v>123</v>
      </c>
      <c r="K41" s="41">
        <v>-8946</v>
      </c>
      <c r="L41" s="41" t="s">
        <v>124</v>
      </c>
      <c r="M41" s="42" t="s">
        <v>83</v>
      </c>
      <c r="N41" s="42"/>
      <c r="O41" s="43" t="s">
        <v>84</v>
      </c>
      <c r="P41" s="43" t="s">
        <v>85</v>
      </c>
    </row>
    <row r="42" spans="1:16" ht="12.75" customHeight="1" thickBot="1">
      <c r="A42" s="19" t="str">
        <f t="shared" si="0"/>
        <v> PZ 13.376 </v>
      </c>
      <c r="B42" s="6" t="str">
        <f t="shared" si="1"/>
        <v>I</v>
      </c>
      <c r="C42" s="19">
        <f t="shared" si="2"/>
        <v>32853.235000000001</v>
      </c>
      <c r="D42" s="26" t="str">
        <f t="shared" si="3"/>
        <v>vis</v>
      </c>
      <c r="E42" s="40">
        <f>VLOOKUP(C42,Active!C$21:E$972,3,FALSE)</f>
        <v>12531.803385517338</v>
      </c>
      <c r="F42" s="6" t="s">
        <v>76</v>
      </c>
      <c r="G42" s="26" t="str">
        <f t="shared" si="4"/>
        <v>32853.235</v>
      </c>
      <c r="H42" s="19">
        <f t="shared" si="5"/>
        <v>-5950</v>
      </c>
      <c r="I42" s="41" t="s">
        <v>125</v>
      </c>
      <c r="J42" s="42" t="s">
        <v>126</v>
      </c>
      <c r="K42" s="41">
        <v>-5950</v>
      </c>
      <c r="L42" s="41" t="s">
        <v>127</v>
      </c>
      <c r="M42" s="42" t="s">
        <v>83</v>
      </c>
      <c r="N42" s="42"/>
      <c r="O42" s="43" t="s">
        <v>92</v>
      </c>
      <c r="P42" s="43" t="s">
        <v>85</v>
      </c>
    </row>
    <row r="43" spans="1:16" ht="12.75" customHeight="1" thickBot="1">
      <c r="A43" s="19" t="str">
        <f t="shared" ref="A43:A74" si="6">P43</f>
        <v> PZ 13.376 </v>
      </c>
      <c r="B43" s="6" t="str">
        <f t="shared" ref="B43:B74" si="7">IF(H43=INT(H43),"I","II")</f>
        <v>I</v>
      </c>
      <c r="C43" s="19">
        <f t="shared" ref="C43:C74" si="8">1*G43</f>
        <v>33117.417999999998</v>
      </c>
      <c r="D43" s="26" t="str">
        <f t="shared" ref="D43:D74" si="9">VLOOKUP(F43,I$1:J$5,2,FALSE)</f>
        <v>vis</v>
      </c>
      <c r="E43" s="40">
        <f>VLOOKUP(C43,Active!C$21:E$972,3,FALSE)</f>
        <v>12963.866411011721</v>
      </c>
      <c r="F43" s="6" t="s">
        <v>76</v>
      </c>
      <c r="G43" s="26" t="str">
        <f t="shared" ref="G43:G74" si="10">MID(I43,3,LEN(I43)-3)</f>
        <v>33117.418</v>
      </c>
      <c r="H43" s="19">
        <f t="shared" ref="H43:H74" si="11">1*K43</f>
        <v>-5518</v>
      </c>
      <c r="I43" s="41" t="s">
        <v>128</v>
      </c>
      <c r="J43" s="42" t="s">
        <v>129</v>
      </c>
      <c r="K43" s="41">
        <v>-5518</v>
      </c>
      <c r="L43" s="41" t="s">
        <v>130</v>
      </c>
      <c r="M43" s="42" t="s">
        <v>83</v>
      </c>
      <c r="N43" s="42"/>
      <c r="O43" s="43" t="s">
        <v>92</v>
      </c>
      <c r="P43" s="43" t="s">
        <v>85</v>
      </c>
    </row>
    <row r="44" spans="1:16" ht="12.75" customHeight="1" thickBot="1">
      <c r="A44" s="19" t="str">
        <f t="shared" si="6"/>
        <v> PZ 13.376 </v>
      </c>
      <c r="B44" s="6" t="str">
        <f t="shared" si="7"/>
        <v>I</v>
      </c>
      <c r="C44" s="19">
        <f t="shared" si="8"/>
        <v>33123.527000000002</v>
      </c>
      <c r="D44" s="26" t="str">
        <f t="shared" si="9"/>
        <v>vis</v>
      </c>
      <c r="E44" s="40">
        <f>VLOOKUP(C44,Active!C$21:E$972,3,FALSE)</f>
        <v>12973.857489251983</v>
      </c>
      <c r="F44" s="6" t="s">
        <v>76</v>
      </c>
      <c r="G44" s="26" t="str">
        <f t="shared" si="10"/>
        <v>33123.527</v>
      </c>
      <c r="H44" s="19">
        <f t="shared" si="11"/>
        <v>-5508</v>
      </c>
      <c r="I44" s="41" t="s">
        <v>131</v>
      </c>
      <c r="J44" s="42" t="s">
        <v>132</v>
      </c>
      <c r="K44" s="41">
        <v>-5508</v>
      </c>
      <c r="L44" s="41" t="s">
        <v>95</v>
      </c>
      <c r="M44" s="42" t="s">
        <v>83</v>
      </c>
      <c r="N44" s="42"/>
      <c r="O44" s="43" t="s">
        <v>92</v>
      </c>
      <c r="P44" s="43" t="s">
        <v>85</v>
      </c>
    </row>
    <row r="45" spans="1:16" ht="12.75" customHeight="1" thickBot="1">
      <c r="A45" s="19" t="str">
        <f t="shared" si="6"/>
        <v> PZ 13.376 </v>
      </c>
      <c r="B45" s="6" t="str">
        <f t="shared" si="7"/>
        <v>I</v>
      </c>
      <c r="C45" s="19">
        <f t="shared" si="8"/>
        <v>33147.366999999998</v>
      </c>
      <c r="D45" s="26" t="str">
        <f t="shared" si="9"/>
        <v>vis</v>
      </c>
      <c r="E45" s="40">
        <f>VLOOKUP(C45,Active!C$21:E$972,3,FALSE)</f>
        <v>13012.847062872483</v>
      </c>
      <c r="F45" s="6" t="s">
        <v>76</v>
      </c>
      <c r="G45" s="26" t="str">
        <f t="shared" si="10"/>
        <v>33147.367</v>
      </c>
      <c r="H45" s="19">
        <f t="shared" si="11"/>
        <v>-5469</v>
      </c>
      <c r="I45" s="41" t="s">
        <v>133</v>
      </c>
      <c r="J45" s="42" t="s">
        <v>134</v>
      </c>
      <c r="K45" s="41">
        <v>-5469</v>
      </c>
      <c r="L45" s="41" t="s">
        <v>135</v>
      </c>
      <c r="M45" s="42" t="s">
        <v>83</v>
      </c>
      <c r="N45" s="42"/>
      <c r="O45" s="43" t="s">
        <v>92</v>
      </c>
      <c r="P45" s="43" t="s">
        <v>85</v>
      </c>
    </row>
    <row r="46" spans="1:16" ht="12.75" customHeight="1" thickBot="1">
      <c r="A46" s="19" t="str">
        <f t="shared" si="6"/>
        <v> PZ 13.376 </v>
      </c>
      <c r="B46" s="6" t="str">
        <f t="shared" si="7"/>
        <v>I</v>
      </c>
      <c r="C46" s="19">
        <f t="shared" si="8"/>
        <v>33153.449999999997</v>
      </c>
      <c r="D46" s="26" t="str">
        <f t="shared" si="9"/>
        <v>vis</v>
      </c>
      <c r="E46" s="40">
        <f>VLOOKUP(C46,Active!C$21:E$972,3,FALSE)</f>
        <v>13022.795618926739</v>
      </c>
      <c r="F46" s="6" t="s">
        <v>76</v>
      </c>
      <c r="G46" s="26" t="str">
        <f t="shared" si="10"/>
        <v>33153.450</v>
      </c>
      <c r="H46" s="19">
        <f t="shared" si="11"/>
        <v>-5459</v>
      </c>
      <c r="I46" s="41" t="s">
        <v>136</v>
      </c>
      <c r="J46" s="42" t="s">
        <v>137</v>
      </c>
      <c r="K46" s="41">
        <v>-5459</v>
      </c>
      <c r="L46" s="41" t="s">
        <v>138</v>
      </c>
      <c r="M46" s="42" t="s">
        <v>83</v>
      </c>
      <c r="N46" s="42"/>
      <c r="O46" s="43" t="s">
        <v>92</v>
      </c>
      <c r="P46" s="43" t="s">
        <v>85</v>
      </c>
    </row>
    <row r="47" spans="1:16" ht="12.75" customHeight="1" thickBot="1">
      <c r="A47" s="19" t="str">
        <f t="shared" si="6"/>
        <v> PZ 13.376 </v>
      </c>
      <c r="B47" s="6" t="str">
        <f t="shared" si="7"/>
        <v>I</v>
      </c>
      <c r="C47" s="19">
        <f t="shared" si="8"/>
        <v>33899.451000000001</v>
      </c>
      <c r="D47" s="26" t="str">
        <f t="shared" si="9"/>
        <v>vis</v>
      </c>
      <c r="E47" s="40">
        <f>VLOOKUP(C47,Active!C$21:E$972,3,FALSE)</f>
        <v>14242.856898728392</v>
      </c>
      <c r="F47" s="6" t="s">
        <v>76</v>
      </c>
      <c r="G47" s="26" t="str">
        <f t="shared" si="10"/>
        <v>33899.451</v>
      </c>
      <c r="H47" s="19">
        <f t="shared" si="11"/>
        <v>-4239</v>
      </c>
      <c r="I47" s="41" t="s">
        <v>139</v>
      </c>
      <c r="J47" s="42" t="s">
        <v>140</v>
      </c>
      <c r="K47" s="41">
        <v>-4239</v>
      </c>
      <c r="L47" s="41" t="s">
        <v>118</v>
      </c>
      <c r="M47" s="42" t="s">
        <v>79</v>
      </c>
      <c r="N47" s="42"/>
      <c r="O47" s="43" t="s">
        <v>92</v>
      </c>
      <c r="P47" s="43" t="s">
        <v>85</v>
      </c>
    </row>
    <row r="48" spans="1:16" ht="12.75" customHeight="1" thickBot="1">
      <c r="A48" s="19" t="str">
        <f t="shared" si="6"/>
        <v> PZ 13.376 </v>
      </c>
      <c r="B48" s="6" t="str">
        <f t="shared" si="7"/>
        <v>I</v>
      </c>
      <c r="C48" s="19">
        <f t="shared" si="8"/>
        <v>34121.387999999999</v>
      </c>
      <c r="D48" s="26" t="str">
        <f t="shared" si="9"/>
        <v>vis</v>
      </c>
      <c r="E48" s="40">
        <f>VLOOKUP(C48,Active!C$21:E$972,3,FALSE)</f>
        <v>14605.827913854828</v>
      </c>
      <c r="F48" s="6" t="s">
        <v>76</v>
      </c>
      <c r="G48" s="26" t="str">
        <f t="shared" si="10"/>
        <v>34121.388</v>
      </c>
      <c r="H48" s="19">
        <f t="shared" si="11"/>
        <v>-3876</v>
      </c>
      <c r="I48" s="41" t="s">
        <v>141</v>
      </c>
      <c r="J48" s="42" t="s">
        <v>142</v>
      </c>
      <c r="K48" s="41">
        <v>-3876</v>
      </c>
      <c r="L48" s="41" t="s">
        <v>143</v>
      </c>
      <c r="M48" s="42" t="s">
        <v>83</v>
      </c>
      <c r="N48" s="42"/>
      <c r="O48" s="43" t="s">
        <v>84</v>
      </c>
      <c r="P48" s="43" t="s">
        <v>85</v>
      </c>
    </row>
    <row r="49" spans="1:16" ht="12.75" customHeight="1" thickBot="1">
      <c r="A49" s="19" t="str">
        <f t="shared" si="6"/>
        <v> PZ 13.376 </v>
      </c>
      <c r="B49" s="6" t="str">
        <f t="shared" si="7"/>
        <v>I</v>
      </c>
      <c r="C49" s="19">
        <f t="shared" si="8"/>
        <v>34239.408000000003</v>
      </c>
      <c r="D49" s="26" t="str">
        <f t="shared" si="9"/>
        <v>vis</v>
      </c>
      <c r="E49" s="40">
        <f>VLOOKUP(C49,Active!C$21:E$972,3,FALSE)</f>
        <v>14798.845928900646</v>
      </c>
      <c r="F49" s="6" t="s">
        <v>76</v>
      </c>
      <c r="G49" s="26" t="str">
        <f t="shared" si="10"/>
        <v>34239.408</v>
      </c>
      <c r="H49" s="19">
        <f t="shared" si="11"/>
        <v>-3683</v>
      </c>
      <c r="I49" s="41" t="s">
        <v>144</v>
      </c>
      <c r="J49" s="42" t="s">
        <v>145</v>
      </c>
      <c r="K49" s="41">
        <v>-3683</v>
      </c>
      <c r="L49" s="41" t="s">
        <v>146</v>
      </c>
      <c r="M49" s="42" t="s">
        <v>83</v>
      </c>
      <c r="N49" s="42"/>
      <c r="O49" s="43" t="s">
        <v>92</v>
      </c>
      <c r="P49" s="43" t="s">
        <v>85</v>
      </c>
    </row>
    <row r="50" spans="1:16" ht="12.75" customHeight="1" thickBot="1">
      <c r="A50" s="19" t="str">
        <f t="shared" si="6"/>
        <v> PZ 13.376 </v>
      </c>
      <c r="B50" s="6" t="str">
        <f t="shared" si="7"/>
        <v>I</v>
      </c>
      <c r="C50" s="19">
        <f t="shared" si="8"/>
        <v>34266.292000000001</v>
      </c>
      <c r="D50" s="26" t="str">
        <f t="shared" si="9"/>
        <v>vis</v>
      </c>
      <c r="E50" s="40">
        <f>VLOOKUP(C50,Active!C$21:E$972,3,FALSE)</f>
        <v>14842.81386922001</v>
      </c>
      <c r="F50" s="6" t="s">
        <v>76</v>
      </c>
      <c r="G50" s="26" t="str">
        <f t="shared" si="10"/>
        <v>34266.292</v>
      </c>
      <c r="H50" s="19">
        <f t="shared" si="11"/>
        <v>-3639</v>
      </c>
      <c r="I50" s="41" t="s">
        <v>147</v>
      </c>
      <c r="J50" s="42" t="s">
        <v>148</v>
      </c>
      <c r="K50" s="41">
        <v>-3639</v>
      </c>
      <c r="L50" s="41" t="s">
        <v>149</v>
      </c>
      <c r="M50" s="42" t="s">
        <v>83</v>
      </c>
      <c r="N50" s="42"/>
      <c r="O50" s="43" t="s">
        <v>92</v>
      </c>
      <c r="P50" s="43" t="s">
        <v>85</v>
      </c>
    </row>
    <row r="51" spans="1:16" ht="12.75" customHeight="1" thickBot="1">
      <c r="A51" s="19" t="str">
        <f t="shared" si="6"/>
        <v> PZ 13.376 </v>
      </c>
      <c r="B51" s="6" t="str">
        <f t="shared" si="7"/>
        <v>I</v>
      </c>
      <c r="C51" s="19">
        <f t="shared" si="8"/>
        <v>34330.483</v>
      </c>
      <c r="D51" s="26" t="str">
        <f t="shared" si="9"/>
        <v>vis</v>
      </c>
      <c r="E51" s="40">
        <f>VLOOKUP(C51,Active!C$21:E$972,3,FALSE)</f>
        <v>14947.796240036867</v>
      </c>
      <c r="F51" s="6" t="s">
        <v>76</v>
      </c>
      <c r="G51" s="26" t="str">
        <f t="shared" si="10"/>
        <v>34330.483</v>
      </c>
      <c r="H51" s="19">
        <f t="shared" si="11"/>
        <v>-3534</v>
      </c>
      <c r="I51" s="41" t="s">
        <v>150</v>
      </c>
      <c r="J51" s="42" t="s">
        <v>151</v>
      </c>
      <c r="K51" s="41">
        <v>-3534</v>
      </c>
      <c r="L51" s="41" t="s">
        <v>152</v>
      </c>
      <c r="M51" s="42" t="s">
        <v>83</v>
      </c>
      <c r="N51" s="42"/>
      <c r="O51" s="43" t="s">
        <v>92</v>
      </c>
      <c r="P51" s="43" t="s">
        <v>85</v>
      </c>
    </row>
    <row r="52" spans="1:16" ht="12.75" customHeight="1" thickBot="1">
      <c r="A52" s="19" t="str">
        <f t="shared" si="6"/>
        <v> PZ 13.377 </v>
      </c>
      <c r="B52" s="6" t="str">
        <f t="shared" si="7"/>
        <v>I</v>
      </c>
      <c r="C52" s="19">
        <f t="shared" si="8"/>
        <v>34392.262999999999</v>
      </c>
      <c r="D52" s="26" t="str">
        <f t="shared" si="9"/>
        <v>vis</v>
      </c>
      <c r="E52" s="40">
        <f>VLOOKUP(C52,Active!C$21:E$972,3,FALSE)</f>
        <v>15048.835495836986</v>
      </c>
      <c r="F52" s="6" t="s">
        <v>76</v>
      </c>
      <c r="G52" s="26" t="str">
        <f t="shared" si="10"/>
        <v>34392.263</v>
      </c>
      <c r="H52" s="19">
        <f t="shared" si="11"/>
        <v>-3433</v>
      </c>
      <c r="I52" s="41" t="s">
        <v>153</v>
      </c>
      <c r="J52" s="42" t="s">
        <v>154</v>
      </c>
      <c r="K52" s="41">
        <v>-3433</v>
      </c>
      <c r="L52" s="41" t="s">
        <v>155</v>
      </c>
      <c r="M52" s="42" t="s">
        <v>83</v>
      </c>
      <c r="N52" s="42"/>
      <c r="O52" s="43" t="s">
        <v>84</v>
      </c>
      <c r="P52" s="43" t="s">
        <v>156</v>
      </c>
    </row>
    <row r="53" spans="1:16" ht="12.75" customHeight="1" thickBot="1">
      <c r="A53" s="19" t="str">
        <f t="shared" si="6"/>
        <v> PZ 13.377 </v>
      </c>
      <c r="B53" s="6" t="str">
        <f t="shared" si="7"/>
        <v>I</v>
      </c>
      <c r="C53" s="19">
        <f t="shared" si="8"/>
        <v>34623.391000000003</v>
      </c>
      <c r="D53" s="26" t="str">
        <f t="shared" si="9"/>
        <v>vis</v>
      </c>
      <c r="E53" s="40">
        <f>VLOOKUP(C53,Active!C$21:E$972,3,FALSE)</f>
        <v>15426.838103712847</v>
      </c>
      <c r="F53" s="6" t="s">
        <v>76</v>
      </c>
      <c r="G53" s="26" t="str">
        <f t="shared" si="10"/>
        <v>34623.391</v>
      </c>
      <c r="H53" s="19">
        <f t="shared" si="11"/>
        <v>-3055</v>
      </c>
      <c r="I53" s="41" t="s">
        <v>157</v>
      </c>
      <c r="J53" s="42" t="s">
        <v>158</v>
      </c>
      <c r="K53" s="41">
        <v>-3055</v>
      </c>
      <c r="L53" s="41" t="s">
        <v>78</v>
      </c>
      <c r="M53" s="42" t="s">
        <v>83</v>
      </c>
      <c r="N53" s="42"/>
      <c r="O53" s="43" t="s">
        <v>92</v>
      </c>
      <c r="P53" s="43" t="s">
        <v>156</v>
      </c>
    </row>
    <row r="54" spans="1:16" ht="12.75" customHeight="1" thickBot="1">
      <c r="A54" s="19" t="str">
        <f t="shared" si="6"/>
        <v> PZ 13.377 </v>
      </c>
      <c r="B54" s="6" t="str">
        <f t="shared" si="7"/>
        <v>I</v>
      </c>
      <c r="C54" s="19">
        <f t="shared" si="8"/>
        <v>34635.603999999999</v>
      </c>
      <c r="D54" s="26" t="str">
        <f t="shared" si="9"/>
        <v>vis</v>
      </c>
      <c r="E54" s="40">
        <f>VLOOKUP(C54,Active!C$21:E$972,3,FALSE)</f>
        <v>15446.812082849889</v>
      </c>
      <c r="F54" s="6" t="s">
        <v>76</v>
      </c>
      <c r="G54" s="26" t="str">
        <f t="shared" si="10"/>
        <v>34635.604</v>
      </c>
      <c r="H54" s="19">
        <f t="shared" si="11"/>
        <v>-3035</v>
      </c>
      <c r="I54" s="41" t="s">
        <v>159</v>
      </c>
      <c r="J54" s="42" t="s">
        <v>160</v>
      </c>
      <c r="K54" s="41">
        <v>-3035</v>
      </c>
      <c r="L54" s="41" t="s">
        <v>161</v>
      </c>
      <c r="M54" s="42" t="s">
        <v>83</v>
      </c>
      <c r="N54" s="42"/>
      <c r="O54" s="43" t="s">
        <v>84</v>
      </c>
      <c r="P54" s="43" t="s">
        <v>156</v>
      </c>
    </row>
    <row r="55" spans="1:16" ht="12.75" customHeight="1" thickBot="1">
      <c r="A55" s="19" t="str">
        <f t="shared" si="6"/>
        <v> PZ 13.377 </v>
      </c>
      <c r="B55" s="6" t="str">
        <f t="shared" si="7"/>
        <v>I</v>
      </c>
      <c r="C55" s="19">
        <f t="shared" si="8"/>
        <v>34637.485000000001</v>
      </c>
      <c r="D55" s="26" t="str">
        <f t="shared" si="9"/>
        <v>vis</v>
      </c>
      <c r="E55" s="40">
        <f>VLOOKUP(C55,Active!C$21:E$972,3,FALSE)</f>
        <v>15449.888399459798</v>
      </c>
      <c r="F55" s="6" t="s">
        <v>76</v>
      </c>
      <c r="G55" s="26" t="str">
        <f t="shared" si="10"/>
        <v>34637.485</v>
      </c>
      <c r="H55" s="19">
        <f t="shared" si="11"/>
        <v>-3032</v>
      </c>
      <c r="I55" s="41" t="s">
        <v>162</v>
      </c>
      <c r="J55" s="42" t="s">
        <v>163</v>
      </c>
      <c r="K55" s="41">
        <v>-3032</v>
      </c>
      <c r="L55" s="41" t="s">
        <v>164</v>
      </c>
      <c r="M55" s="42" t="s">
        <v>83</v>
      </c>
      <c r="N55" s="42"/>
      <c r="O55" s="43" t="s">
        <v>84</v>
      </c>
      <c r="P55" s="43" t="s">
        <v>156</v>
      </c>
    </row>
    <row r="56" spans="1:16" ht="12.75" customHeight="1" thickBot="1">
      <c r="A56" s="19" t="str">
        <f t="shared" si="6"/>
        <v> PZ 13.377 </v>
      </c>
      <c r="B56" s="6" t="str">
        <f t="shared" si="7"/>
        <v>I</v>
      </c>
      <c r="C56" s="19">
        <f t="shared" si="8"/>
        <v>36458.373</v>
      </c>
      <c r="D56" s="26" t="str">
        <f t="shared" si="9"/>
        <v>vis</v>
      </c>
      <c r="E56" s="40">
        <f>VLOOKUP(C56,Active!C$21:E$972,3,FALSE)</f>
        <v>18427.893715344711</v>
      </c>
      <c r="F56" s="6" t="s">
        <v>76</v>
      </c>
      <c r="G56" s="26" t="str">
        <f t="shared" si="10"/>
        <v>36458.373</v>
      </c>
      <c r="H56" s="19">
        <f t="shared" si="11"/>
        <v>-54</v>
      </c>
      <c r="I56" s="41" t="s">
        <v>165</v>
      </c>
      <c r="J56" s="42" t="s">
        <v>166</v>
      </c>
      <c r="K56" s="41">
        <v>-54</v>
      </c>
      <c r="L56" s="41" t="s">
        <v>167</v>
      </c>
      <c r="M56" s="42" t="s">
        <v>79</v>
      </c>
      <c r="N56" s="42"/>
      <c r="O56" s="43" t="s">
        <v>92</v>
      </c>
      <c r="P56" s="43" t="s">
        <v>156</v>
      </c>
    </row>
    <row r="57" spans="1:16" ht="12.75" customHeight="1" thickBot="1">
      <c r="A57" s="19" t="str">
        <f t="shared" si="6"/>
        <v> PZ 13.377 </v>
      </c>
      <c r="B57" s="6" t="str">
        <f t="shared" si="7"/>
        <v>I</v>
      </c>
      <c r="C57" s="19">
        <f t="shared" si="8"/>
        <v>36461.423000000003</v>
      </c>
      <c r="D57" s="26" t="str">
        <f t="shared" si="9"/>
        <v>vis</v>
      </c>
      <c r="E57" s="40">
        <f>VLOOKUP(C57,Active!C$21:E$972,3,FALSE)</f>
        <v>18432.881894855727</v>
      </c>
      <c r="F57" s="6" t="s">
        <v>76</v>
      </c>
      <c r="G57" s="26" t="str">
        <f t="shared" si="10"/>
        <v>36461.423</v>
      </c>
      <c r="H57" s="19">
        <f t="shared" si="11"/>
        <v>-49</v>
      </c>
      <c r="I57" s="41" t="s">
        <v>168</v>
      </c>
      <c r="J57" s="42" t="s">
        <v>169</v>
      </c>
      <c r="K57" s="41">
        <v>-49</v>
      </c>
      <c r="L57" s="41" t="s">
        <v>138</v>
      </c>
      <c r="M57" s="42" t="s">
        <v>79</v>
      </c>
      <c r="N57" s="42"/>
      <c r="O57" s="43" t="s">
        <v>92</v>
      </c>
      <c r="P57" s="43" t="s">
        <v>156</v>
      </c>
    </row>
    <row r="58" spans="1:16" ht="12.75" customHeight="1" thickBot="1">
      <c r="A58" s="19" t="str">
        <f t="shared" si="6"/>
        <v> PZ 13.377 </v>
      </c>
      <c r="B58" s="6" t="str">
        <f t="shared" si="7"/>
        <v>I</v>
      </c>
      <c r="C58" s="19">
        <f t="shared" si="8"/>
        <v>36463.303</v>
      </c>
      <c r="D58" s="26" t="str">
        <f t="shared" si="9"/>
        <v>vis</v>
      </c>
      <c r="E58" s="40">
        <f>VLOOKUP(C58,Active!C$21:E$972,3,FALSE)</f>
        <v>18435.956575996937</v>
      </c>
      <c r="F58" s="6" t="s">
        <v>76</v>
      </c>
      <c r="G58" s="26" t="str">
        <f t="shared" si="10"/>
        <v>36463.303</v>
      </c>
      <c r="H58" s="19">
        <f t="shared" si="11"/>
        <v>-46</v>
      </c>
      <c r="I58" s="41" t="s">
        <v>170</v>
      </c>
      <c r="J58" s="42" t="s">
        <v>171</v>
      </c>
      <c r="K58" s="41">
        <v>-46</v>
      </c>
      <c r="L58" s="41" t="s">
        <v>172</v>
      </c>
      <c r="M58" s="42" t="s">
        <v>83</v>
      </c>
      <c r="N58" s="42"/>
      <c r="O58" s="43" t="s">
        <v>92</v>
      </c>
      <c r="P58" s="43" t="s">
        <v>156</v>
      </c>
    </row>
    <row r="59" spans="1:16" ht="12.75" customHeight="1" thickBot="1">
      <c r="A59" s="19" t="str">
        <f t="shared" si="6"/>
        <v>BAVM 56 </v>
      </c>
      <c r="B59" s="6" t="str">
        <f t="shared" si="7"/>
        <v>I</v>
      </c>
      <c r="C59" s="19">
        <f t="shared" si="8"/>
        <v>47790.387000000002</v>
      </c>
      <c r="D59" s="26" t="str">
        <f t="shared" si="9"/>
        <v>vis</v>
      </c>
      <c r="E59" s="40">
        <f>VLOOKUP(C59,Active!C$21:E$972,3,FALSE)</f>
        <v>36961.047831183954</v>
      </c>
      <c r="F59" s="6" t="s">
        <v>76</v>
      </c>
      <c r="G59" s="26" t="str">
        <f t="shared" si="10"/>
        <v>47790.387</v>
      </c>
      <c r="H59" s="19">
        <f t="shared" si="11"/>
        <v>18479</v>
      </c>
      <c r="I59" s="41" t="s">
        <v>173</v>
      </c>
      <c r="J59" s="42" t="s">
        <v>174</v>
      </c>
      <c r="K59" s="41">
        <v>18479</v>
      </c>
      <c r="L59" s="41" t="s">
        <v>175</v>
      </c>
      <c r="M59" s="42" t="s">
        <v>79</v>
      </c>
      <c r="N59" s="42"/>
      <c r="O59" s="43" t="s">
        <v>176</v>
      </c>
      <c r="P59" s="44" t="s">
        <v>177</v>
      </c>
    </row>
    <row r="60" spans="1:16" ht="12.75" customHeight="1" thickBot="1">
      <c r="A60" s="19" t="str">
        <f t="shared" si="6"/>
        <v>BAVM 56 </v>
      </c>
      <c r="B60" s="6" t="str">
        <f t="shared" si="7"/>
        <v>I</v>
      </c>
      <c r="C60" s="19">
        <f t="shared" si="8"/>
        <v>47804.447999999997</v>
      </c>
      <c r="D60" s="26" t="str">
        <f t="shared" si="9"/>
        <v>vis</v>
      </c>
      <c r="E60" s="40">
        <f>VLOOKUP(C60,Active!C$21:E$972,3,FALSE)</f>
        <v>36984.044156464057</v>
      </c>
      <c r="F60" s="6" t="s">
        <v>76</v>
      </c>
      <c r="G60" s="26" t="str">
        <f t="shared" si="10"/>
        <v>47804.448</v>
      </c>
      <c r="H60" s="19">
        <f t="shared" si="11"/>
        <v>18502</v>
      </c>
      <c r="I60" s="41" t="s">
        <v>178</v>
      </c>
      <c r="J60" s="42" t="s">
        <v>179</v>
      </c>
      <c r="K60" s="41">
        <v>18502</v>
      </c>
      <c r="L60" s="41" t="s">
        <v>180</v>
      </c>
      <c r="M60" s="42" t="s">
        <v>79</v>
      </c>
      <c r="N60" s="42"/>
      <c r="O60" s="43" t="s">
        <v>176</v>
      </c>
      <c r="P60" s="44" t="s">
        <v>177</v>
      </c>
    </row>
    <row r="61" spans="1:16" ht="12.75" customHeight="1" thickBot="1">
      <c r="A61" s="19" t="str">
        <f t="shared" si="6"/>
        <v>BAVM 56 </v>
      </c>
      <c r="B61" s="6" t="str">
        <f t="shared" si="7"/>
        <v>I</v>
      </c>
      <c r="C61" s="19">
        <f t="shared" si="8"/>
        <v>47843.59</v>
      </c>
      <c r="D61" s="26" t="str">
        <f t="shared" si="9"/>
        <v>vis</v>
      </c>
      <c r="E61" s="40">
        <f>VLOOKUP(C61,Active!C$21:E$972,3,FALSE)</f>
        <v>37048.059672011615</v>
      </c>
      <c r="F61" s="6" t="s">
        <v>76</v>
      </c>
      <c r="G61" s="26" t="str">
        <f t="shared" si="10"/>
        <v>47843.590</v>
      </c>
      <c r="H61" s="19">
        <f t="shared" si="11"/>
        <v>18566</v>
      </c>
      <c r="I61" s="41" t="s">
        <v>181</v>
      </c>
      <c r="J61" s="42" t="s">
        <v>182</v>
      </c>
      <c r="K61" s="41">
        <v>18566</v>
      </c>
      <c r="L61" s="41" t="s">
        <v>183</v>
      </c>
      <c r="M61" s="42" t="s">
        <v>79</v>
      </c>
      <c r="N61" s="42"/>
      <c r="O61" s="43" t="s">
        <v>176</v>
      </c>
      <c r="P61" s="44" t="s">
        <v>177</v>
      </c>
    </row>
    <row r="62" spans="1:16" ht="12.75" customHeight="1" thickBot="1">
      <c r="A62" s="19" t="str">
        <f t="shared" si="6"/>
        <v>BAVM 56 </v>
      </c>
      <c r="B62" s="6" t="str">
        <f t="shared" si="7"/>
        <v>I</v>
      </c>
      <c r="C62" s="19">
        <f t="shared" si="8"/>
        <v>47848.474999999999</v>
      </c>
      <c r="D62" s="26" t="str">
        <f t="shared" si="9"/>
        <v>vis</v>
      </c>
      <c r="E62" s="40">
        <f>VLOOKUP(C62,Active!C$21:E$972,3,FALSE)</f>
        <v>37056.048936572704</v>
      </c>
      <c r="F62" s="6" t="s">
        <v>76</v>
      </c>
      <c r="G62" s="26" t="str">
        <f t="shared" si="10"/>
        <v>47848.475</v>
      </c>
      <c r="H62" s="19">
        <f t="shared" si="11"/>
        <v>18574</v>
      </c>
      <c r="I62" s="41" t="s">
        <v>184</v>
      </c>
      <c r="J62" s="42" t="s">
        <v>185</v>
      </c>
      <c r="K62" s="41">
        <v>18574</v>
      </c>
      <c r="L62" s="41" t="s">
        <v>175</v>
      </c>
      <c r="M62" s="42" t="s">
        <v>79</v>
      </c>
      <c r="N62" s="42"/>
      <c r="O62" s="43" t="s">
        <v>176</v>
      </c>
      <c r="P62" s="44" t="s">
        <v>177</v>
      </c>
    </row>
    <row r="63" spans="1:16" ht="12.75" customHeight="1" thickBot="1">
      <c r="A63" s="19" t="str">
        <f t="shared" si="6"/>
        <v>BAVM 60 </v>
      </c>
      <c r="B63" s="6" t="str">
        <f t="shared" si="7"/>
        <v>I</v>
      </c>
      <c r="C63" s="19">
        <f t="shared" si="8"/>
        <v>48501.504999999997</v>
      </c>
      <c r="D63" s="26" t="str">
        <f t="shared" si="9"/>
        <v>vis</v>
      </c>
      <c r="E63" s="40">
        <f>VLOOKUP(C63,Active!C$21:E$972,3,FALSE)</f>
        <v>38124.059056597835</v>
      </c>
      <c r="F63" s="6" t="s">
        <v>76</v>
      </c>
      <c r="G63" s="26" t="str">
        <f t="shared" si="10"/>
        <v>48501.505</v>
      </c>
      <c r="H63" s="19">
        <f t="shared" si="11"/>
        <v>19642</v>
      </c>
      <c r="I63" s="41" t="s">
        <v>186</v>
      </c>
      <c r="J63" s="42" t="s">
        <v>187</v>
      </c>
      <c r="K63" s="41">
        <v>19642</v>
      </c>
      <c r="L63" s="41" t="s">
        <v>188</v>
      </c>
      <c r="M63" s="42" t="s">
        <v>79</v>
      </c>
      <c r="N63" s="42"/>
      <c r="O63" s="43" t="s">
        <v>189</v>
      </c>
      <c r="P63" s="44" t="s">
        <v>190</v>
      </c>
    </row>
    <row r="64" spans="1:16" ht="12.75" customHeight="1" thickBot="1">
      <c r="A64" s="19" t="str">
        <f t="shared" si="6"/>
        <v>BAVM 60 </v>
      </c>
      <c r="B64" s="6" t="str">
        <f t="shared" si="7"/>
        <v>I</v>
      </c>
      <c r="C64" s="19">
        <f t="shared" si="8"/>
        <v>48539.413</v>
      </c>
      <c r="D64" s="26" t="str">
        <f t="shared" si="9"/>
        <v>vis</v>
      </c>
      <c r="E64" s="40">
        <f>VLOOKUP(C64,Active!C$21:E$972,3,FALSE)</f>
        <v>38186.056403779301</v>
      </c>
      <c r="F64" s="6" t="s">
        <v>76</v>
      </c>
      <c r="G64" s="26" t="str">
        <f t="shared" si="10"/>
        <v>48539.413</v>
      </c>
      <c r="H64" s="19">
        <f t="shared" si="11"/>
        <v>19704</v>
      </c>
      <c r="I64" s="41" t="s">
        <v>191</v>
      </c>
      <c r="J64" s="42" t="s">
        <v>192</v>
      </c>
      <c r="K64" s="41">
        <v>19704</v>
      </c>
      <c r="L64" s="41" t="s">
        <v>193</v>
      </c>
      <c r="M64" s="42" t="s">
        <v>79</v>
      </c>
      <c r="N64" s="42"/>
      <c r="O64" s="43" t="s">
        <v>189</v>
      </c>
      <c r="P64" s="44" t="s">
        <v>190</v>
      </c>
    </row>
    <row r="65" spans="1:16" ht="12.75" customHeight="1" thickBot="1">
      <c r="A65" s="19" t="str">
        <f t="shared" si="6"/>
        <v>BAVM 68 </v>
      </c>
      <c r="B65" s="6" t="str">
        <f t="shared" si="7"/>
        <v>I</v>
      </c>
      <c r="C65" s="19">
        <f t="shared" si="8"/>
        <v>49228.5164</v>
      </c>
      <c r="D65" s="26" t="str">
        <f t="shared" si="9"/>
        <v>vis</v>
      </c>
      <c r="E65" s="40">
        <f>VLOOKUP(C65,Active!C$21:E$972,3,FALSE)</f>
        <v>39313.063440123311</v>
      </c>
      <c r="F65" s="6" t="s">
        <v>76</v>
      </c>
      <c r="G65" s="26" t="str">
        <f t="shared" si="10"/>
        <v>49228.5164</v>
      </c>
      <c r="H65" s="19">
        <f t="shared" si="11"/>
        <v>20831</v>
      </c>
      <c r="I65" s="41" t="s">
        <v>194</v>
      </c>
      <c r="J65" s="42" t="s">
        <v>195</v>
      </c>
      <c r="K65" s="41">
        <v>20831</v>
      </c>
      <c r="L65" s="41" t="s">
        <v>196</v>
      </c>
      <c r="M65" s="42" t="s">
        <v>197</v>
      </c>
      <c r="N65" s="42" t="s">
        <v>198</v>
      </c>
      <c r="O65" s="43" t="s">
        <v>199</v>
      </c>
      <c r="P65" s="44" t="s">
        <v>200</v>
      </c>
    </row>
    <row r="66" spans="1:16" ht="12.75" customHeight="1" thickBot="1">
      <c r="A66" s="19" t="str">
        <f t="shared" si="6"/>
        <v> BBS 127 </v>
      </c>
      <c r="B66" s="6" t="str">
        <f t="shared" si="7"/>
        <v>II</v>
      </c>
      <c r="C66" s="19">
        <f t="shared" si="8"/>
        <v>52224.2883</v>
      </c>
      <c r="D66" s="26" t="str">
        <f t="shared" si="9"/>
        <v>vis</v>
      </c>
      <c r="E66" s="40">
        <f>VLOOKUP(C66,Active!C$21:E$972,3,FALSE)</f>
        <v>44212.554591352084</v>
      </c>
      <c r="F66" s="6" t="s">
        <v>76</v>
      </c>
      <c r="G66" s="26" t="str">
        <f t="shared" si="10"/>
        <v>52224.2883</v>
      </c>
      <c r="H66" s="19">
        <f t="shared" si="11"/>
        <v>25730.5</v>
      </c>
      <c r="I66" s="41" t="s">
        <v>216</v>
      </c>
      <c r="J66" s="42" t="s">
        <v>217</v>
      </c>
      <c r="K66" s="41">
        <v>25730.5</v>
      </c>
      <c r="L66" s="41" t="s">
        <v>218</v>
      </c>
      <c r="M66" s="42" t="s">
        <v>197</v>
      </c>
      <c r="N66" s="42" t="s">
        <v>219</v>
      </c>
      <c r="O66" s="43" t="s">
        <v>220</v>
      </c>
      <c r="P66" s="43" t="s">
        <v>221</v>
      </c>
    </row>
    <row r="67" spans="1:16" ht="12.75" customHeight="1" thickBot="1">
      <c r="A67" s="19" t="str">
        <f t="shared" si="6"/>
        <v>BAVM 209 </v>
      </c>
      <c r="B67" s="6" t="str">
        <f t="shared" si="7"/>
        <v>I</v>
      </c>
      <c r="C67" s="19">
        <f t="shared" si="8"/>
        <v>54832.403100000003</v>
      </c>
      <c r="D67" s="26" t="str">
        <f t="shared" si="9"/>
        <v>vis</v>
      </c>
      <c r="E67" s="40">
        <f>VLOOKUP(C67,Active!C$21:E$972,3,FALSE)</f>
        <v>48478.044692246884</v>
      </c>
      <c r="F67" s="6" t="s">
        <v>76</v>
      </c>
      <c r="G67" s="26" t="str">
        <f t="shared" si="10"/>
        <v>54832.4031</v>
      </c>
      <c r="H67" s="19">
        <f t="shared" si="11"/>
        <v>29996</v>
      </c>
      <c r="I67" s="41" t="s">
        <v>250</v>
      </c>
      <c r="J67" s="42" t="s">
        <v>251</v>
      </c>
      <c r="K67" s="41" t="s">
        <v>252</v>
      </c>
      <c r="L67" s="41" t="s">
        <v>253</v>
      </c>
      <c r="M67" s="42" t="s">
        <v>237</v>
      </c>
      <c r="N67" s="42" t="s">
        <v>230</v>
      </c>
      <c r="O67" s="43" t="s">
        <v>231</v>
      </c>
      <c r="P67" s="44" t="s">
        <v>254</v>
      </c>
    </row>
    <row r="68" spans="1:16" ht="12.75" customHeight="1" thickBot="1">
      <c r="A68" s="19" t="str">
        <f t="shared" si="6"/>
        <v>BAVM 212 </v>
      </c>
      <c r="B68" s="6" t="str">
        <f t="shared" si="7"/>
        <v>I</v>
      </c>
      <c r="C68" s="19">
        <f t="shared" si="8"/>
        <v>55049.466099999998</v>
      </c>
      <c r="D68" s="26" t="str">
        <f t="shared" si="9"/>
        <v>vis</v>
      </c>
      <c r="E68" s="40">
        <f>VLOOKUP(C68,Active!C$21:E$972,3,FALSE)</f>
        <v>48833.044432967843</v>
      </c>
      <c r="F68" s="6" t="s">
        <v>76</v>
      </c>
      <c r="G68" s="26" t="str">
        <f t="shared" si="10"/>
        <v>55049.4661</v>
      </c>
      <c r="H68" s="19">
        <f t="shared" si="11"/>
        <v>30351</v>
      </c>
      <c r="I68" s="41" t="s">
        <v>255</v>
      </c>
      <c r="J68" s="42" t="s">
        <v>256</v>
      </c>
      <c r="K68" s="41" t="s">
        <v>257</v>
      </c>
      <c r="L68" s="41" t="s">
        <v>258</v>
      </c>
      <c r="M68" s="42" t="s">
        <v>237</v>
      </c>
      <c r="N68" s="42" t="s">
        <v>230</v>
      </c>
      <c r="O68" s="43" t="s">
        <v>231</v>
      </c>
      <c r="P68" s="44" t="s">
        <v>259</v>
      </c>
    </row>
    <row r="69" spans="1:16" ht="12.75" customHeight="1" thickBot="1">
      <c r="A69" s="19" t="str">
        <f t="shared" si="6"/>
        <v>BAVM 212 </v>
      </c>
      <c r="B69" s="6" t="str">
        <f t="shared" si="7"/>
        <v>I</v>
      </c>
      <c r="C69" s="19">
        <f t="shared" si="8"/>
        <v>55063.530500000001</v>
      </c>
      <c r="D69" s="26" t="str">
        <f t="shared" si="9"/>
        <v>vis</v>
      </c>
      <c r="E69" s="40">
        <f>VLOOKUP(C69,Active!C$21:E$972,3,FALSE)</f>
        <v>48856.046318841516</v>
      </c>
      <c r="F69" s="6" t="s">
        <v>76</v>
      </c>
      <c r="G69" s="26" t="str">
        <f t="shared" si="10"/>
        <v>55063.5305</v>
      </c>
      <c r="H69" s="19">
        <f t="shared" si="11"/>
        <v>30374</v>
      </c>
      <c r="I69" s="41" t="s">
        <v>260</v>
      </c>
      <c r="J69" s="42" t="s">
        <v>261</v>
      </c>
      <c r="K69" s="41" t="s">
        <v>262</v>
      </c>
      <c r="L69" s="41" t="s">
        <v>263</v>
      </c>
      <c r="M69" s="42" t="s">
        <v>237</v>
      </c>
      <c r="N69" s="42" t="s">
        <v>230</v>
      </c>
      <c r="O69" s="43" t="s">
        <v>231</v>
      </c>
      <c r="P69" s="44" t="s">
        <v>259</v>
      </c>
    </row>
    <row r="70" spans="1:16" ht="12.75" customHeight="1" thickBot="1">
      <c r="A70" s="19" t="str">
        <f t="shared" si="6"/>
        <v>BAVM 212 </v>
      </c>
      <c r="B70" s="6" t="str">
        <f t="shared" si="7"/>
        <v>II</v>
      </c>
      <c r="C70" s="19">
        <f t="shared" si="8"/>
        <v>55067.506999999998</v>
      </c>
      <c r="D70" s="26" t="str">
        <f t="shared" si="9"/>
        <v>vis</v>
      </c>
      <c r="E70" s="40">
        <f>VLOOKUP(C70,Active!C$21:E$972,3,FALSE)</f>
        <v>48862.54976009579</v>
      </c>
      <c r="F70" s="6" t="s">
        <v>76</v>
      </c>
      <c r="G70" s="26" t="str">
        <f t="shared" si="10"/>
        <v>55067.5070</v>
      </c>
      <c r="H70" s="19">
        <f t="shared" si="11"/>
        <v>30380.5</v>
      </c>
      <c r="I70" s="41" t="s">
        <v>264</v>
      </c>
      <c r="J70" s="42" t="s">
        <v>265</v>
      </c>
      <c r="K70" s="41" t="s">
        <v>266</v>
      </c>
      <c r="L70" s="41" t="s">
        <v>267</v>
      </c>
      <c r="M70" s="42" t="s">
        <v>237</v>
      </c>
      <c r="N70" s="42" t="s">
        <v>230</v>
      </c>
      <c r="O70" s="43" t="s">
        <v>231</v>
      </c>
      <c r="P70" s="44" t="s">
        <v>259</v>
      </c>
    </row>
    <row r="71" spans="1:16" ht="12.75" customHeight="1" thickBot="1">
      <c r="A71" s="19" t="str">
        <f t="shared" si="6"/>
        <v>BAVM 212 </v>
      </c>
      <c r="B71" s="6" t="str">
        <f t="shared" si="7"/>
        <v>I</v>
      </c>
      <c r="C71" s="19">
        <f t="shared" si="8"/>
        <v>55074.535799999998</v>
      </c>
      <c r="D71" s="26" t="str">
        <f t="shared" si="9"/>
        <v>vis</v>
      </c>
      <c r="E71" s="40">
        <f>VLOOKUP(C71,Active!C$21:E$972,3,FALSE)</f>
        <v>48874.04514243907</v>
      </c>
      <c r="F71" s="6" t="s">
        <v>76</v>
      </c>
      <c r="G71" s="26" t="str">
        <f t="shared" si="10"/>
        <v>55074.5358</v>
      </c>
      <c r="H71" s="19">
        <f t="shared" si="11"/>
        <v>30392</v>
      </c>
      <c r="I71" s="41" t="s">
        <v>268</v>
      </c>
      <c r="J71" s="42" t="s">
        <v>269</v>
      </c>
      <c r="K71" s="41" t="s">
        <v>270</v>
      </c>
      <c r="L71" s="41" t="s">
        <v>271</v>
      </c>
      <c r="M71" s="42" t="s">
        <v>237</v>
      </c>
      <c r="N71" s="42" t="s">
        <v>230</v>
      </c>
      <c r="O71" s="43" t="s">
        <v>231</v>
      </c>
      <c r="P71" s="44" t="s">
        <v>259</v>
      </c>
    </row>
    <row r="72" spans="1:16" ht="12.75" customHeight="1" thickBot="1">
      <c r="A72" s="19" t="str">
        <f t="shared" si="6"/>
        <v>OEJV 0137 </v>
      </c>
      <c r="B72" s="6" t="str">
        <f t="shared" si="7"/>
        <v>II</v>
      </c>
      <c r="C72" s="19">
        <f t="shared" si="8"/>
        <v>55483.2863</v>
      </c>
      <c r="D72" s="26" t="str">
        <f t="shared" si="9"/>
        <v>vis</v>
      </c>
      <c r="E72" s="40" t="e">
        <f>VLOOKUP(C72,Active!C$21:E$972,3,FALSE)</f>
        <v>#N/A</v>
      </c>
      <c r="F72" s="6" t="s">
        <v>76</v>
      </c>
      <c r="G72" s="26" t="str">
        <f t="shared" si="10"/>
        <v>55483.2863</v>
      </c>
      <c r="H72" s="19">
        <f t="shared" si="11"/>
        <v>31060.5</v>
      </c>
      <c r="I72" s="41" t="s">
        <v>272</v>
      </c>
      <c r="J72" s="42" t="s">
        <v>273</v>
      </c>
      <c r="K72" s="41" t="s">
        <v>274</v>
      </c>
      <c r="L72" s="41" t="s">
        <v>275</v>
      </c>
      <c r="M72" s="42" t="s">
        <v>237</v>
      </c>
      <c r="N72" s="42" t="s">
        <v>276</v>
      </c>
      <c r="O72" s="43" t="s">
        <v>277</v>
      </c>
      <c r="P72" s="44" t="s">
        <v>278</v>
      </c>
    </row>
    <row r="73" spans="1:16" ht="12.75" customHeight="1" thickBot="1">
      <c r="A73" s="19" t="str">
        <f t="shared" si="6"/>
        <v>BAVM 225 </v>
      </c>
      <c r="B73" s="6" t="str">
        <f t="shared" si="7"/>
        <v>II</v>
      </c>
      <c r="C73" s="19">
        <f t="shared" si="8"/>
        <v>55838.538200000003</v>
      </c>
      <c r="D73" s="26" t="str">
        <f t="shared" si="9"/>
        <v>vis</v>
      </c>
      <c r="E73" s="40">
        <f>VLOOKUP(C73,Active!C$21:E$972,3,FALSE)</f>
        <v>50123.547148355326</v>
      </c>
      <c r="F73" s="6" t="s">
        <v>76</v>
      </c>
      <c r="G73" s="26" t="str">
        <f t="shared" si="10"/>
        <v>55838.5382</v>
      </c>
      <c r="H73" s="19">
        <f t="shared" si="11"/>
        <v>31641.5</v>
      </c>
      <c r="I73" s="41" t="s">
        <v>300</v>
      </c>
      <c r="J73" s="42" t="s">
        <v>301</v>
      </c>
      <c r="K73" s="41" t="s">
        <v>302</v>
      </c>
      <c r="L73" s="41" t="s">
        <v>303</v>
      </c>
      <c r="M73" s="42" t="s">
        <v>237</v>
      </c>
      <c r="N73" s="42" t="s">
        <v>230</v>
      </c>
      <c r="O73" s="43" t="s">
        <v>231</v>
      </c>
      <c r="P73" s="44" t="s">
        <v>304</v>
      </c>
    </row>
    <row r="74" spans="1:16" ht="12.75" customHeight="1" thickBot="1">
      <c r="A74" s="19" t="str">
        <f t="shared" si="6"/>
        <v>BAVM 225 </v>
      </c>
      <c r="B74" s="6" t="str">
        <f t="shared" si="7"/>
        <v>I</v>
      </c>
      <c r="C74" s="19">
        <f t="shared" si="8"/>
        <v>55874.305</v>
      </c>
      <c r="D74" s="26" t="str">
        <f t="shared" si="9"/>
        <v>vis</v>
      </c>
      <c r="E74" s="40">
        <f>VLOOKUP(C74,Active!C$21:E$972,3,FALSE)</f>
        <v>50182.042629973192</v>
      </c>
      <c r="F74" s="6" t="s">
        <v>76</v>
      </c>
      <c r="G74" s="26" t="str">
        <f t="shared" si="10"/>
        <v>55874.3050</v>
      </c>
      <c r="H74" s="19">
        <f t="shared" si="11"/>
        <v>31700</v>
      </c>
      <c r="I74" s="41" t="s">
        <v>305</v>
      </c>
      <c r="J74" s="42" t="s">
        <v>306</v>
      </c>
      <c r="K74" s="41" t="s">
        <v>307</v>
      </c>
      <c r="L74" s="41" t="s">
        <v>308</v>
      </c>
      <c r="M74" s="42" t="s">
        <v>237</v>
      </c>
      <c r="N74" s="42" t="s">
        <v>230</v>
      </c>
      <c r="O74" s="43" t="s">
        <v>231</v>
      </c>
      <c r="P74" s="44" t="s">
        <v>304</v>
      </c>
    </row>
    <row r="75" spans="1:16">
      <c r="B75" s="6"/>
      <c r="F75" s="6"/>
    </row>
    <row r="76" spans="1:16">
      <c r="B76" s="6"/>
      <c r="F76" s="6"/>
    </row>
    <row r="77" spans="1:16">
      <c r="B77" s="6"/>
      <c r="F77" s="6"/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</sheetData>
  <phoneticPr fontId="23" type="noConversion"/>
  <hyperlinks>
    <hyperlink ref="A3" r:id="rId1"/>
    <hyperlink ref="P59" r:id="rId2" display="http://www.bav-astro.de/sfs/BAVM_link.php?BAVMnr=56"/>
    <hyperlink ref="P60" r:id="rId3" display="http://www.bav-astro.de/sfs/BAVM_link.php?BAVMnr=56"/>
    <hyperlink ref="P61" r:id="rId4" display="http://www.bav-astro.de/sfs/BAVM_link.php?BAVMnr=56"/>
    <hyperlink ref="P62" r:id="rId5" display="http://www.bav-astro.de/sfs/BAVM_link.php?BAVMnr=56"/>
    <hyperlink ref="P63" r:id="rId6" display="http://www.bav-astro.de/sfs/BAVM_link.php?BAVMnr=60"/>
    <hyperlink ref="P64" r:id="rId7" display="http://www.bav-astro.de/sfs/BAVM_link.php?BAVMnr=60"/>
    <hyperlink ref="P65" r:id="rId8" display="http://www.bav-astro.de/sfs/BAVM_link.php?BAVMnr=68"/>
    <hyperlink ref="P11" r:id="rId9" display="http://www.bav-astro.de/sfs/BAVM_link.php?BAVMnr=172"/>
    <hyperlink ref="P12" r:id="rId10" display="http://www.bav-astro.de/sfs/BAVM_link.php?BAVMnr=172"/>
    <hyperlink ref="P13" r:id="rId11" display="http://www.bav-astro.de/sfs/BAVM_link.php?BAVMnr=172"/>
    <hyperlink ref="P14" r:id="rId12" display="http://www.bav-astro.de/sfs/BAVM_link.php?BAVMnr=172"/>
    <hyperlink ref="P15" r:id="rId13" display="http://www.konkoly.hu/cgi-bin/IBVS?5603"/>
    <hyperlink ref="P16" r:id="rId14" display="http://www.bav-astro.de/sfs/BAVM_link.php?BAVMnr=173"/>
    <hyperlink ref="P17" r:id="rId15" display="http://www.bav-astro.de/sfs/BAVM_link.php?BAVMnr=183"/>
    <hyperlink ref="P18" r:id="rId16" display="http://www.bav-astro.de/sfs/BAVM_link.php?BAVMnr=186"/>
    <hyperlink ref="P19" r:id="rId17" display="http://www.konkoly.hu/cgi-bin/IBVS?5875"/>
    <hyperlink ref="P67" r:id="rId18" display="http://www.bav-astro.de/sfs/BAVM_link.php?BAVMnr=209"/>
    <hyperlink ref="P68" r:id="rId19" display="http://www.bav-astro.de/sfs/BAVM_link.php?BAVMnr=212"/>
    <hyperlink ref="P69" r:id="rId20" display="http://www.bav-astro.de/sfs/BAVM_link.php?BAVMnr=212"/>
    <hyperlink ref="P70" r:id="rId21" display="http://www.bav-astro.de/sfs/BAVM_link.php?BAVMnr=212"/>
    <hyperlink ref="P71" r:id="rId22" display="http://www.bav-astro.de/sfs/BAVM_link.php?BAVMnr=212"/>
    <hyperlink ref="P72" r:id="rId23" display="http://var.astro.cz/oejv/issues/oejv0137.pdf"/>
    <hyperlink ref="P20" r:id="rId24" display="http://www.konkoly.hu/cgi-bin/IBVS?5960"/>
    <hyperlink ref="P21" r:id="rId25" display="http://www.bav-astro.de/sfs/BAVM_link.php?BAVMnr=215"/>
    <hyperlink ref="P22" r:id="rId26" display="http://www.bav-astro.de/sfs/BAVM_link.php?BAVMnr=220"/>
    <hyperlink ref="P23" r:id="rId27" display="http://var.astro.cz/oejv/issues/oejv0160.pdf"/>
    <hyperlink ref="P73" r:id="rId28" display="http://www.bav-astro.de/sfs/BAVM_link.php?BAVMnr=225"/>
    <hyperlink ref="P74" r:id="rId29" display="http://www.bav-astro.de/sfs/BAVM_link.php?BAVMnr=225"/>
    <hyperlink ref="P24" r:id="rId30" display="http://var.astro.cz/oejv/issues/oejv0160.pdf"/>
    <hyperlink ref="P25" r:id="rId31" display="http://www.konkoly.hu/cgi-bin/IBVS?6042"/>
    <hyperlink ref="P26" r:id="rId32" display="http://www.bav-astro.de/sfs/BAVM_link.php?BAVMnr=234"/>
    <hyperlink ref="P27" r:id="rId3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2024-01-19T04:24:14Z</dcterms:modified>
</cp:coreProperties>
</file>