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6A8ACCD-5C6C-4489-BE2B-6282D9B60F6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50" i="1" l="1"/>
  <c r="C7" i="1"/>
  <c r="E50" i="1"/>
  <c r="F50" i="1"/>
  <c r="C8" i="1"/>
  <c r="E23" i="1"/>
  <c r="F23" i="1"/>
  <c r="G23" i="1"/>
  <c r="H23" i="1"/>
  <c r="E24" i="1"/>
  <c r="F24" i="1"/>
  <c r="E26" i="1"/>
  <c r="F26" i="1"/>
  <c r="G26" i="1"/>
  <c r="H26" i="1"/>
  <c r="E29" i="1"/>
  <c r="F29" i="1"/>
  <c r="E30" i="1"/>
  <c r="F30" i="1"/>
  <c r="E31" i="1"/>
  <c r="F31" i="1"/>
  <c r="G31" i="1"/>
  <c r="H31" i="1"/>
  <c r="E32" i="1"/>
  <c r="F32" i="1"/>
  <c r="G32" i="1"/>
  <c r="H32" i="1"/>
  <c r="E33" i="1"/>
  <c r="F33" i="1"/>
  <c r="G33" i="1"/>
  <c r="H33" i="1"/>
  <c r="E44" i="1"/>
  <c r="F44" i="1"/>
  <c r="G44" i="1"/>
  <c r="K44" i="1"/>
  <c r="D9" i="1"/>
  <c r="C9" i="1"/>
  <c r="C21" i="1"/>
  <c r="E21" i="1"/>
  <c r="F21" i="1"/>
  <c r="E34" i="1"/>
  <c r="F34" i="1"/>
  <c r="G34" i="1"/>
  <c r="J34" i="1"/>
  <c r="E35" i="1"/>
  <c r="F35" i="1"/>
  <c r="G35" i="1"/>
  <c r="J35" i="1"/>
  <c r="E37" i="1"/>
  <c r="F37" i="1"/>
  <c r="G37" i="1"/>
  <c r="J37" i="1"/>
  <c r="E38" i="1"/>
  <c r="F38" i="1"/>
  <c r="G38" i="1"/>
  <c r="J38" i="1"/>
  <c r="E39" i="1"/>
  <c r="F39" i="1"/>
  <c r="G39" i="1"/>
  <c r="K39" i="1"/>
  <c r="E40" i="1"/>
  <c r="F40" i="1"/>
  <c r="G40" i="1"/>
  <c r="E42" i="1"/>
  <c r="F42" i="1"/>
  <c r="G42" i="1"/>
  <c r="J42" i="1"/>
  <c r="E43" i="1"/>
  <c r="F43" i="1"/>
  <c r="G43" i="1"/>
  <c r="J43" i="1"/>
  <c r="E41" i="1"/>
  <c r="F41" i="1"/>
  <c r="G41" i="1"/>
  <c r="K41" i="1"/>
  <c r="E47" i="1"/>
  <c r="F47" i="1"/>
  <c r="G47" i="1"/>
  <c r="K47" i="1"/>
  <c r="E49" i="1"/>
  <c r="F49" i="1"/>
  <c r="G49" i="1"/>
  <c r="J49" i="1"/>
  <c r="E36" i="1"/>
  <c r="F36" i="1"/>
  <c r="G36" i="1"/>
  <c r="J36" i="1"/>
  <c r="E45" i="1"/>
  <c r="F45" i="1"/>
  <c r="Q22" i="1"/>
  <c r="Q23" i="1"/>
  <c r="Q24" i="1"/>
  <c r="Q25" i="1"/>
  <c r="Q26" i="1"/>
  <c r="Q27" i="1"/>
  <c r="Q28" i="1"/>
  <c r="Q29" i="1"/>
  <c r="Q30" i="1"/>
  <c r="Q31" i="1"/>
  <c r="Q32" i="1"/>
  <c r="Q33" i="1"/>
  <c r="Q44" i="1"/>
  <c r="Q46" i="1"/>
  <c r="Q48" i="1"/>
  <c r="G19" i="2"/>
  <c r="C19" i="2"/>
  <c r="E19" i="2"/>
  <c r="G35" i="2"/>
  <c r="C35" i="2"/>
  <c r="G18" i="2"/>
  <c r="C18" i="2"/>
  <c r="E18" i="2"/>
  <c r="G34" i="2"/>
  <c r="C34" i="2"/>
  <c r="G33" i="2"/>
  <c r="C33" i="2"/>
  <c r="E33" i="2"/>
  <c r="G17" i="2"/>
  <c r="C17" i="2"/>
  <c r="E17" i="2"/>
  <c r="G16" i="2"/>
  <c r="C16" i="2"/>
  <c r="E16" i="2"/>
  <c r="G32" i="2"/>
  <c r="C32" i="2"/>
  <c r="E32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G25" i="2"/>
  <c r="C25" i="2"/>
  <c r="G24" i="2"/>
  <c r="C24" i="2"/>
  <c r="E24" i="2"/>
  <c r="G23" i="2"/>
  <c r="C23" i="2"/>
  <c r="G22" i="2"/>
  <c r="C22" i="2"/>
  <c r="E22" i="2"/>
  <c r="G21" i="2"/>
  <c r="C21" i="2"/>
  <c r="E21" i="2"/>
  <c r="G20" i="2"/>
  <c r="C20" i="2"/>
  <c r="H19" i="2"/>
  <c r="B19" i="2"/>
  <c r="D19" i="2"/>
  <c r="A19" i="2"/>
  <c r="H35" i="2"/>
  <c r="B35" i="2"/>
  <c r="D35" i="2"/>
  <c r="A35" i="2"/>
  <c r="H18" i="2"/>
  <c r="B18" i="2"/>
  <c r="D18" i="2"/>
  <c r="A18" i="2"/>
  <c r="H34" i="2"/>
  <c r="B34" i="2"/>
  <c r="D34" i="2"/>
  <c r="A34" i="2"/>
  <c r="H33" i="2"/>
  <c r="B33" i="2"/>
  <c r="D33" i="2"/>
  <c r="A33" i="2"/>
  <c r="H17" i="2"/>
  <c r="B17" i="2"/>
  <c r="D17" i="2"/>
  <c r="A17" i="2"/>
  <c r="H16" i="2"/>
  <c r="B16" i="2"/>
  <c r="D16" i="2"/>
  <c r="A16" i="2"/>
  <c r="H32" i="2"/>
  <c r="B32" i="2"/>
  <c r="D32" i="2"/>
  <c r="A32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Q49" i="1"/>
  <c r="Q47" i="1"/>
  <c r="Q40" i="1"/>
  <c r="K40" i="1"/>
  <c r="F16" i="1"/>
  <c r="F17" i="1" s="1"/>
  <c r="C17" i="1"/>
  <c r="Q45" i="1"/>
  <c r="Q41" i="1"/>
  <c r="Q42" i="1"/>
  <c r="Q43" i="1"/>
  <c r="Q38" i="1"/>
  <c r="Q39" i="1"/>
  <c r="Q21" i="1"/>
  <c r="Q36" i="1"/>
  <c r="Q34" i="1"/>
  <c r="Q35" i="1"/>
  <c r="Q37" i="1"/>
  <c r="E34" i="2"/>
  <c r="G21" i="1"/>
  <c r="H21" i="1"/>
  <c r="E35" i="2"/>
  <c r="E26" i="2"/>
  <c r="E23" i="2"/>
  <c r="E20" i="2"/>
  <c r="E48" i="1"/>
  <c r="F48" i="1"/>
  <c r="G48" i="1"/>
  <c r="K48" i="1"/>
  <c r="G30" i="1"/>
  <c r="H30" i="1"/>
  <c r="E28" i="1"/>
  <c r="F28" i="1"/>
  <c r="G28" i="1"/>
  <c r="H28" i="1"/>
  <c r="E25" i="1"/>
  <c r="F25" i="1"/>
  <c r="G25" i="1"/>
  <c r="H25" i="1"/>
  <c r="G22" i="1"/>
  <c r="H22" i="1"/>
  <c r="G24" i="1"/>
  <c r="H24" i="1"/>
  <c r="E46" i="1"/>
  <c r="F46" i="1"/>
  <c r="G46" i="1"/>
  <c r="G29" i="1"/>
  <c r="H29" i="1"/>
  <c r="E27" i="1"/>
  <c r="F27" i="1"/>
  <c r="G27" i="1"/>
  <c r="H27" i="1"/>
  <c r="E22" i="1"/>
  <c r="F22" i="1"/>
  <c r="G50" i="1"/>
  <c r="K50" i="1"/>
  <c r="K46" i="1"/>
  <c r="E25" i="2"/>
  <c r="C11" i="1"/>
  <c r="C12" i="1"/>
  <c r="C16" i="1" l="1"/>
  <c r="D18" i="1" s="1"/>
  <c r="O29" i="1"/>
  <c r="O27" i="1"/>
  <c r="O25" i="1"/>
  <c r="O48" i="1"/>
  <c r="O45" i="1"/>
  <c r="O46" i="1"/>
  <c r="O33" i="1"/>
  <c r="O23" i="1"/>
  <c r="O34" i="1"/>
  <c r="O47" i="1"/>
  <c r="O38" i="1"/>
  <c r="O31" i="1"/>
  <c r="O32" i="1"/>
  <c r="O42" i="1"/>
  <c r="O44" i="1"/>
  <c r="O35" i="1"/>
  <c r="O39" i="1"/>
  <c r="C15" i="1"/>
  <c r="O50" i="1"/>
  <c r="O28" i="1"/>
  <c r="O43" i="1"/>
  <c r="O21" i="1"/>
  <c r="O40" i="1"/>
  <c r="O37" i="1"/>
  <c r="O26" i="1"/>
  <c r="O30" i="1"/>
  <c r="O41" i="1"/>
  <c r="O24" i="1"/>
  <c r="O22" i="1"/>
  <c r="O36" i="1"/>
  <c r="O49" i="1"/>
  <c r="C18" i="1" l="1"/>
  <c r="F18" i="1"/>
  <c r="F19" i="1" s="1"/>
</calcChain>
</file>

<file path=xl/sharedStrings.xml><?xml version="1.0" encoding="utf-8"?>
<sst xmlns="http://schemas.openxmlformats.org/spreadsheetml/2006/main" count="320" uniqueCount="166">
  <si>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</si>
  <si>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</si>
  <si>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</si>
  <si>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</si>
  <si>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</si>
  <si>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</si>
  <si>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</si>
  <si>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</si>
  <si>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</si>
  <si>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</si>
  <si>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</si>
  <si>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</si>
  <si>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</si>
  <si>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</si>
  <si>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</si>
  <si>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</si>
  <si>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</si>
  <si>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</si>
  <si>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</si>
  <si>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</si>
  <si>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</si>
  <si>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</si>
  <si>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</si>
  <si>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</si>
  <si>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</si>
  <si>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</si>
  <si>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</si>
  <si>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</si>
  <si>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</si>
  <si>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ROTSE</t>
  </si>
  <si>
    <t>I</t>
  </si>
  <si>
    <t>IBVS 5643</t>
  </si>
  <si>
    <t>ROTSE data show secondary eclipse is very shallow...no more than 0.2 mag.</t>
  </si>
  <si>
    <t>EA</t>
  </si>
  <si>
    <t>IBVS 5657</t>
  </si>
  <si>
    <t>IBVS 5690</t>
  </si>
  <si>
    <t>GK Cas / gsc 3696-0250?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</si>
  <si>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</si>
  <si>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</si>
  <si>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</si>
  <si>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</si>
  <si>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</si>
  <si>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</si>
  <si>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IBVS 5761</t>
  </si>
  <si>
    <t>IBVS 5802</t>
  </si>
  <si>
    <t>IBVS 5806</t>
  </si>
  <si>
    <t>Start of linear fit &gt;&gt;&gt;&gt;&gt;&gt;&gt;&gt;&gt;&gt;&gt;&gt;&gt;&gt;&gt;&gt;&gt;&gt;&gt;&gt;&gt;</t>
  </si>
  <si>
    <t>Add cycle</t>
  </si>
  <si>
    <t>Old Cycle</t>
  </si>
  <si>
    <t>IBVS 5960</t>
  </si>
  <si>
    <t>II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</si>
  <si>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</si>
  <si>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</si>
  <si>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</si>
  <si>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</si>
  <si>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</si>
  <si>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</si>
  <si>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</si>
  <si>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</si>
  <si>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</si>
  <si>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</si>
  <si>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</si>
  <si>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</si>
  <si>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2428495.449 </t>
  </si>
  <si>
    <t> 22.11.1936 22:46 </t>
  </si>
  <si>
    <t> -0.020 </t>
  </si>
  <si>
    <t>P </t>
  </si>
  <si>
    <t> C.Hoffmeister </t>
  </si>
  <si>
    <t> VSS 1.72 </t>
  </si>
  <si>
    <t>2429110.543 </t>
  </si>
  <si>
    <t> 31.07.1938 01:01 </t>
  </si>
  <si>
    <t> -0.018 </t>
  </si>
  <si>
    <t>2429140.519 </t>
  </si>
  <si>
    <t> 30.08.1938 00:27 </t>
  </si>
  <si>
    <t> 0.010 </t>
  </si>
  <si>
    <t>2429163.587 </t>
  </si>
  <si>
    <t> 22.09.1938 02:05 </t>
  </si>
  <si>
    <t> 0.041 </t>
  </si>
  <si>
    <t>2429170.410 </t>
  </si>
  <si>
    <t> 28.09.1938 21:50 </t>
  </si>
  <si>
    <t> -0.047 </t>
  </si>
  <si>
    <t>2429230.377 </t>
  </si>
  <si>
    <t> 27.11.1938 21:02 </t>
  </si>
  <si>
    <t> 0.023 </t>
  </si>
  <si>
    <t>2429253.435 </t>
  </si>
  <si>
    <t> 20.12.1938 22:26 </t>
  </si>
  <si>
    <t> 0.044 </t>
  </si>
  <si>
    <t>2429497.588 </t>
  </si>
  <si>
    <t> 22.08.1939 02:06 </t>
  </si>
  <si>
    <t> 0.003 </t>
  </si>
  <si>
    <t>2429670.375 </t>
  </si>
  <si>
    <t> 10.02.1940 21:00 </t>
  </si>
  <si>
    <t> 0.011 </t>
  </si>
  <si>
    <t>2429898.415 </t>
  </si>
  <si>
    <t> 25.09.1940 21:57 </t>
  </si>
  <si>
    <t> -0.016 </t>
  </si>
  <si>
    <t>2430734.686 </t>
  </si>
  <si>
    <t> 10.01.1943 04:27 </t>
  </si>
  <si>
    <t> 0.006 </t>
  </si>
  <si>
    <t>2430976.550 </t>
  </si>
  <si>
    <t> 09.09.1943 01:12 </t>
  </si>
  <si>
    <t>2450113.2673 </t>
  </si>
  <si>
    <t> 30.01.1996 18:24 </t>
  </si>
  <si>
    <t> -0.2633 </t>
  </si>
  <si>
    <t>E </t>
  </si>
  <si>
    <t>o</t>
  </si>
  <si>
    <t> F.Agerer </t>
  </si>
  <si>
    <t>BAVM 172 </t>
  </si>
  <si>
    <t>2450319.4502 </t>
  </si>
  <si>
    <t> 23.08.1996 22:48 </t>
  </si>
  <si>
    <t> -0.2629 </t>
  </si>
  <si>
    <t>2451768.4715 </t>
  </si>
  <si>
    <t> 11.08.2000 23:18 </t>
  </si>
  <si>
    <t> -0.2783 </t>
  </si>
  <si>
    <t>2453255.4939 </t>
  </si>
  <si>
    <t> 06.09.2004 23:51 </t>
  </si>
  <si>
    <t> -0.3039 </t>
  </si>
  <si>
    <t> Moschner &amp; Frank </t>
  </si>
  <si>
    <t>BAVM 173 </t>
  </si>
  <si>
    <t>2453370.6791 </t>
  </si>
  <si>
    <t> 31.12.2004 04:17 </t>
  </si>
  <si>
    <t> -0.3045 </t>
  </si>
  <si>
    <t>?</t>
  </si>
  <si>
    <t> T.Krajci </t>
  </si>
  <si>
    <t>IBVS 5690 </t>
  </si>
  <si>
    <t>2454031.8360 </t>
  </si>
  <si>
    <t> 23.10.2006 08:03 </t>
  </si>
  <si>
    <t> -0.3138 </t>
  </si>
  <si>
    <t>C </t>
  </si>
  <si>
    <t>IBVS 5806 </t>
  </si>
  <si>
    <t>2454073.3021 </t>
  </si>
  <si>
    <t> 03.12.2006 19:15 </t>
  </si>
  <si>
    <t> -0.3145 </t>
  </si>
  <si>
    <t>-I</t>
  </si>
  <si>
    <t>BAVM 183 </t>
  </si>
  <si>
    <t>2454096.3400 </t>
  </si>
  <si>
    <t> 26.12.2006 20:09 </t>
  </si>
  <si>
    <t>11113</t>
  </si>
  <si>
    <t>2454211.5234 </t>
  </si>
  <si>
    <t> 21.04.2007 00:33 </t>
  </si>
  <si>
    <t>11163</t>
  </si>
  <si>
    <t> -0.3161 </t>
  </si>
  <si>
    <t> U.Schmidt </t>
  </si>
  <si>
    <t>BAVM 186 </t>
  </si>
  <si>
    <t>2455075.4062 </t>
  </si>
  <si>
    <t> 31.08.2009 21:44 </t>
  </si>
  <si>
    <t>11538</t>
  </si>
  <si>
    <t> -0.3265 </t>
  </si>
  <si>
    <t>BAVM 212 </t>
  </si>
  <si>
    <t>2455532.6868 </t>
  </si>
  <si>
    <t> 02.12.2010 04:28 </t>
  </si>
  <si>
    <t>11736.5</t>
  </si>
  <si>
    <t> -0.3333 </t>
  </si>
  <si>
    <t> R.Diethelm </t>
  </si>
  <si>
    <t>IBVS 5960 </t>
  </si>
  <si>
    <t>2455879.3925 </t>
  </si>
  <si>
    <t> 13.11.2011 21:25 </t>
  </si>
  <si>
    <t>11887</t>
  </si>
  <si>
    <t> -0.3367 </t>
  </si>
  <si>
    <t>BAVM 225 </t>
  </si>
  <si>
    <t>2456540.5509 </t>
  </si>
  <si>
    <t> 05.09.2013 01:13 </t>
  </si>
  <si>
    <t>12174</t>
  </si>
  <si>
    <t> -0.3445 </t>
  </si>
  <si>
    <t>BAVM 234 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</si>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</sst>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72" fontId="0" fillId="0" borderId="0" xfId="0" applyNumberFormat="1" applyAlignment="1">
      <alignment horizontal="left"/>
    </xf>
    <xf numFmtId="0" fontId="14" fillId="0" borderId="0" xfId="0" applyFont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10" fillId="0" borderId="0" xfId="0" applyFont="1" applyAlignment="1"/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7" fillId="0" borderId="0" xfId="0" applyFont="1">
      <alignment vertical="top"/>
    </xf>
    <xf numFmtId="0" fontId="9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1" fillId="0" borderId="10" xfId="0" applyFont="1" applyBorder="1" applyAlignment="1">
      <alignment horizontal="center"/>
    </xf>
    <xf numFmtId="0" fontId="16" fillId="0" borderId="0" xfId="42" applyFont="1" applyAlignment="1">
      <alignment wrapText="1"/>
    </xf>
    <xf numFmtId="0" fontId="16" fillId="0" borderId="0" xfId="42" applyFont="1" applyAlignment="1">
      <alignment horizontal="center" wrapText="1"/>
    </xf>
    <xf numFmtId="0" fontId="16" fillId="0" borderId="0" xfId="42" applyFont="1" applyAlignment="1">
      <alignment horizontal="left" wrapText="1"/>
    </xf>
    <xf numFmtId="0" fontId="16" fillId="0" borderId="0" xfId="42" applyNumberFormat="1" applyFont="1" applyAlignment="1">
      <alignment horizontal="left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/>
    </xf>
    <xf numFmtId="0" fontId="16" fillId="0" borderId="0" xfId="0" applyFont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GK Cas - O-C Diagr.</a:t>
            </a:r>
          </a:p>
        </c:rich>
      </c:tx>
      <c:layout>
        <c:manualLayout>
          <c:xMode val="edge"/>
          <c:yMode val="edge"/>
          <c:x val="0.3863301782670925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24378093931449"/>
          <c:y val="0.14634168126798494"/>
          <c:w val="0.8216945040386620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267</c:v>
                </c:pt>
                <c:pt idx="3">
                  <c:v>280</c:v>
                </c:pt>
                <c:pt idx="4">
                  <c:v>290</c:v>
                </c:pt>
                <c:pt idx="5">
                  <c:v>293</c:v>
                </c:pt>
                <c:pt idx="6">
                  <c:v>319</c:v>
                </c:pt>
                <c:pt idx="7">
                  <c:v>329</c:v>
                </c:pt>
                <c:pt idx="8">
                  <c:v>435</c:v>
                </c:pt>
                <c:pt idx="9">
                  <c:v>510</c:v>
                </c:pt>
                <c:pt idx="10">
                  <c:v>609</c:v>
                </c:pt>
                <c:pt idx="11">
                  <c:v>972</c:v>
                </c:pt>
                <c:pt idx="12">
                  <c:v>1077</c:v>
                </c:pt>
                <c:pt idx="13">
                  <c:v>9384</c:v>
                </c:pt>
                <c:pt idx="14">
                  <c:v>9473.5</c:v>
                </c:pt>
                <c:pt idx="15">
                  <c:v>9923</c:v>
                </c:pt>
                <c:pt idx="16">
                  <c:v>10102.5</c:v>
                </c:pt>
                <c:pt idx="17">
                  <c:v>10748</c:v>
                </c:pt>
                <c:pt idx="18">
                  <c:v>10798</c:v>
                </c:pt>
                <c:pt idx="19">
                  <c:v>10798</c:v>
                </c:pt>
                <c:pt idx="20">
                  <c:v>11085</c:v>
                </c:pt>
                <c:pt idx="21">
                  <c:v>11103</c:v>
                </c:pt>
                <c:pt idx="22">
                  <c:v>11113</c:v>
                </c:pt>
                <c:pt idx="23">
                  <c:v>11163</c:v>
                </c:pt>
                <c:pt idx="24">
                  <c:v>11163.5</c:v>
                </c:pt>
                <c:pt idx="25">
                  <c:v>11538</c:v>
                </c:pt>
                <c:pt idx="26">
                  <c:v>11736.5</c:v>
                </c:pt>
                <c:pt idx="27">
                  <c:v>11887</c:v>
                </c:pt>
                <c:pt idx="28">
                  <c:v>12174</c:v>
                </c:pt>
                <c:pt idx="29">
                  <c:v>12486.5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0</c:v>
                </c:pt>
                <c:pt idx="1">
                  <c:v>-2.0000000000436557E-2</c:v>
                </c:pt>
                <c:pt idx="2">
                  <c:v>-1.7905000000610016E-2</c:v>
                </c:pt>
                <c:pt idx="3">
                  <c:v>9.7999999998137355E-3</c:v>
                </c:pt>
                <c:pt idx="4">
                  <c:v>4.0649999999004649E-2</c:v>
                </c:pt>
                <c:pt idx="5">
                  <c:v>-4.7495000002527377E-2</c:v>
                </c:pt>
                <c:pt idx="6">
                  <c:v>2.291499999773805E-2</c:v>
                </c:pt>
                <c:pt idx="7">
                  <c:v>4.3764999998529674E-2</c:v>
                </c:pt>
                <c:pt idx="8">
                  <c:v>2.9749999994237442E-3</c:v>
                </c:pt>
                <c:pt idx="9">
                  <c:v>1.1350000000675209E-2</c:v>
                </c:pt>
                <c:pt idx="10">
                  <c:v>-1.6435000001365552E-2</c:v>
                </c:pt>
                <c:pt idx="11">
                  <c:v>6.0200000007171184E-3</c:v>
                </c:pt>
                <c:pt idx="12">
                  <c:v>-2.005500000086613E-2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27-4FAF-8351-C7F20A950E2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Active!$D$22:$D$47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8.9999999999999998E-4</c:v>
                  </c:pt>
                  <c:pt idx="15">
                    <c:v>1.1000000000000001E-3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6.7000000000000002E-3</c:v>
                  </c:pt>
                  <c:pt idx="22">
                    <c:v>0</c:v>
                  </c:pt>
                  <c:pt idx="23">
                    <c:v>2.5999999999999999E-3</c:v>
                  </c:pt>
                  <c:pt idx="24">
                    <c:v>0</c:v>
                  </c:pt>
                  <c:pt idx="25">
                    <c:v>1.1000000000000001E-3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267</c:v>
                </c:pt>
                <c:pt idx="3">
                  <c:v>280</c:v>
                </c:pt>
                <c:pt idx="4">
                  <c:v>290</c:v>
                </c:pt>
                <c:pt idx="5">
                  <c:v>293</c:v>
                </c:pt>
                <c:pt idx="6">
                  <c:v>319</c:v>
                </c:pt>
                <c:pt idx="7">
                  <c:v>329</c:v>
                </c:pt>
                <c:pt idx="8">
                  <c:v>435</c:v>
                </c:pt>
                <c:pt idx="9">
                  <c:v>510</c:v>
                </c:pt>
                <c:pt idx="10">
                  <c:v>609</c:v>
                </c:pt>
                <c:pt idx="11">
                  <c:v>972</c:v>
                </c:pt>
                <c:pt idx="12">
                  <c:v>1077</c:v>
                </c:pt>
                <c:pt idx="13">
                  <c:v>9384</c:v>
                </c:pt>
                <c:pt idx="14">
                  <c:v>9473.5</c:v>
                </c:pt>
                <c:pt idx="15">
                  <c:v>9923</c:v>
                </c:pt>
                <c:pt idx="16">
                  <c:v>10102.5</c:v>
                </c:pt>
                <c:pt idx="17">
                  <c:v>10748</c:v>
                </c:pt>
                <c:pt idx="18">
                  <c:v>10798</c:v>
                </c:pt>
                <c:pt idx="19">
                  <c:v>10798</c:v>
                </c:pt>
                <c:pt idx="20">
                  <c:v>11085</c:v>
                </c:pt>
                <c:pt idx="21">
                  <c:v>11103</c:v>
                </c:pt>
                <c:pt idx="22">
                  <c:v>11113</c:v>
                </c:pt>
                <c:pt idx="23">
                  <c:v>11163</c:v>
                </c:pt>
                <c:pt idx="24">
                  <c:v>11163.5</c:v>
                </c:pt>
                <c:pt idx="25">
                  <c:v>11538</c:v>
                </c:pt>
                <c:pt idx="26">
                  <c:v>11736.5</c:v>
                </c:pt>
                <c:pt idx="27">
                  <c:v>11887</c:v>
                </c:pt>
                <c:pt idx="28">
                  <c:v>12174</c:v>
                </c:pt>
                <c:pt idx="29">
                  <c:v>12486.5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27-4FAF-8351-C7F20A950E2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8.9999999999999998E-4</c:v>
                  </c:pt>
                  <c:pt idx="16">
                    <c:v>1.1000000000000001E-3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6.7000000000000002E-3</c:v>
                  </c:pt>
                  <c:pt idx="23">
                    <c:v>0</c:v>
                  </c:pt>
                  <c:pt idx="24">
                    <c:v>2.5999999999999999E-3</c:v>
                  </c:pt>
                  <c:pt idx="25">
                    <c:v>0</c:v>
                  </c:pt>
                  <c:pt idx="26">
                    <c:v>1.1000000000000001E-3</c:v>
                  </c:pt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8.9999999999999998E-4</c:v>
                  </c:pt>
                  <c:pt idx="16">
                    <c:v>1.1000000000000001E-3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6.7000000000000002E-3</c:v>
                  </c:pt>
                  <c:pt idx="23">
                    <c:v>0</c:v>
                  </c:pt>
                  <c:pt idx="24">
                    <c:v>2.5999999999999999E-3</c:v>
                  </c:pt>
                  <c:pt idx="25">
                    <c:v>0</c:v>
                  </c:pt>
                  <c:pt idx="2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267</c:v>
                </c:pt>
                <c:pt idx="3">
                  <c:v>280</c:v>
                </c:pt>
                <c:pt idx="4">
                  <c:v>290</c:v>
                </c:pt>
                <c:pt idx="5">
                  <c:v>293</c:v>
                </c:pt>
                <c:pt idx="6">
                  <c:v>319</c:v>
                </c:pt>
                <c:pt idx="7">
                  <c:v>329</c:v>
                </c:pt>
                <c:pt idx="8">
                  <c:v>435</c:v>
                </c:pt>
                <c:pt idx="9">
                  <c:v>510</c:v>
                </c:pt>
                <c:pt idx="10">
                  <c:v>609</c:v>
                </c:pt>
                <c:pt idx="11">
                  <c:v>972</c:v>
                </c:pt>
                <c:pt idx="12">
                  <c:v>1077</c:v>
                </c:pt>
                <c:pt idx="13">
                  <c:v>9384</c:v>
                </c:pt>
                <c:pt idx="14">
                  <c:v>9473.5</c:v>
                </c:pt>
                <c:pt idx="15">
                  <c:v>9923</c:v>
                </c:pt>
                <c:pt idx="16">
                  <c:v>10102.5</c:v>
                </c:pt>
                <c:pt idx="17">
                  <c:v>10748</c:v>
                </c:pt>
                <c:pt idx="18">
                  <c:v>10798</c:v>
                </c:pt>
                <c:pt idx="19">
                  <c:v>10798</c:v>
                </c:pt>
                <c:pt idx="20">
                  <c:v>11085</c:v>
                </c:pt>
                <c:pt idx="21">
                  <c:v>11103</c:v>
                </c:pt>
                <c:pt idx="22">
                  <c:v>11113</c:v>
                </c:pt>
                <c:pt idx="23">
                  <c:v>11163</c:v>
                </c:pt>
                <c:pt idx="24">
                  <c:v>11163.5</c:v>
                </c:pt>
                <c:pt idx="25">
                  <c:v>11538</c:v>
                </c:pt>
                <c:pt idx="26">
                  <c:v>11736.5</c:v>
                </c:pt>
                <c:pt idx="27">
                  <c:v>11887</c:v>
                </c:pt>
                <c:pt idx="28">
                  <c:v>12174</c:v>
                </c:pt>
                <c:pt idx="29">
                  <c:v>12486.5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13">
                  <c:v>-0.26325999999971827</c:v>
                </c:pt>
                <c:pt idx="14">
                  <c:v>-0.26285249999637017</c:v>
                </c:pt>
                <c:pt idx="15">
                  <c:v>-0.28054499999416294</c:v>
                </c:pt>
                <c:pt idx="16">
                  <c:v>-0.278287499997532</c:v>
                </c:pt>
                <c:pt idx="17">
                  <c:v>-0.3039199999984703</c:v>
                </c:pt>
                <c:pt idx="21">
                  <c:v>-0.31454500000108965</c:v>
                </c:pt>
                <c:pt idx="22">
                  <c:v>-0.3137950000091223</c:v>
                </c:pt>
                <c:pt idx="28">
                  <c:v>-0.3445099999953527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27-4FAF-8351-C7F20A950E2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267</c:v>
                </c:pt>
                <c:pt idx="3">
                  <c:v>280</c:v>
                </c:pt>
                <c:pt idx="4">
                  <c:v>290</c:v>
                </c:pt>
                <c:pt idx="5">
                  <c:v>293</c:v>
                </c:pt>
                <c:pt idx="6">
                  <c:v>319</c:v>
                </c:pt>
                <c:pt idx="7">
                  <c:v>329</c:v>
                </c:pt>
                <c:pt idx="8">
                  <c:v>435</c:v>
                </c:pt>
                <c:pt idx="9">
                  <c:v>510</c:v>
                </c:pt>
                <c:pt idx="10">
                  <c:v>609</c:v>
                </c:pt>
                <c:pt idx="11">
                  <c:v>972</c:v>
                </c:pt>
                <c:pt idx="12">
                  <c:v>1077</c:v>
                </c:pt>
                <c:pt idx="13">
                  <c:v>9384</c:v>
                </c:pt>
                <c:pt idx="14">
                  <c:v>9473.5</c:v>
                </c:pt>
                <c:pt idx="15">
                  <c:v>9923</c:v>
                </c:pt>
                <c:pt idx="16">
                  <c:v>10102.5</c:v>
                </c:pt>
                <c:pt idx="17">
                  <c:v>10748</c:v>
                </c:pt>
                <c:pt idx="18">
                  <c:v>10798</c:v>
                </c:pt>
                <c:pt idx="19">
                  <c:v>10798</c:v>
                </c:pt>
                <c:pt idx="20">
                  <c:v>11085</c:v>
                </c:pt>
                <c:pt idx="21">
                  <c:v>11103</c:v>
                </c:pt>
                <c:pt idx="22">
                  <c:v>11113</c:v>
                </c:pt>
                <c:pt idx="23">
                  <c:v>11163</c:v>
                </c:pt>
                <c:pt idx="24">
                  <c:v>11163.5</c:v>
                </c:pt>
                <c:pt idx="25">
                  <c:v>11538</c:v>
                </c:pt>
                <c:pt idx="26">
                  <c:v>11736.5</c:v>
                </c:pt>
                <c:pt idx="27">
                  <c:v>11887</c:v>
                </c:pt>
                <c:pt idx="28">
                  <c:v>12174</c:v>
                </c:pt>
                <c:pt idx="29">
                  <c:v>12486.5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8">
                  <c:v>-0.30446999999549007</c:v>
                </c:pt>
                <c:pt idx="19">
                  <c:v>-0.30446999999549007</c:v>
                </c:pt>
                <c:pt idx="20">
                  <c:v>-0.31377499987138435</c:v>
                </c:pt>
                <c:pt idx="23">
                  <c:v>-0.31614499999705004</c:v>
                </c:pt>
                <c:pt idx="25">
                  <c:v>-0.32646999999997206</c:v>
                </c:pt>
                <c:pt idx="26">
                  <c:v>-0.33329750000120839</c:v>
                </c:pt>
                <c:pt idx="27">
                  <c:v>-0.33670499999425374</c:v>
                </c:pt>
                <c:pt idx="29">
                  <c:v>-0.35464750000392087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27-4FAF-8351-C7F20A950E2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267</c:v>
                </c:pt>
                <c:pt idx="3">
                  <c:v>280</c:v>
                </c:pt>
                <c:pt idx="4">
                  <c:v>290</c:v>
                </c:pt>
                <c:pt idx="5">
                  <c:v>293</c:v>
                </c:pt>
                <c:pt idx="6">
                  <c:v>319</c:v>
                </c:pt>
                <c:pt idx="7">
                  <c:v>329</c:v>
                </c:pt>
                <c:pt idx="8">
                  <c:v>435</c:v>
                </c:pt>
                <c:pt idx="9">
                  <c:v>510</c:v>
                </c:pt>
                <c:pt idx="10">
                  <c:v>609</c:v>
                </c:pt>
                <c:pt idx="11">
                  <c:v>972</c:v>
                </c:pt>
                <c:pt idx="12">
                  <c:v>1077</c:v>
                </c:pt>
                <c:pt idx="13">
                  <c:v>9384</c:v>
                </c:pt>
                <c:pt idx="14">
                  <c:v>9473.5</c:v>
                </c:pt>
                <c:pt idx="15">
                  <c:v>9923</c:v>
                </c:pt>
                <c:pt idx="16">
                  <c:v>10102.5</c:v>
                </c:pt>
                <c:pt idx="17">
                  <c:v>10748</c:v>
                </c:pt>
                <c:pt idx="18">
                  <c:v>10798</c:v>
                </c:pt>
                <c:pt idx="19">
                  <c:v>10798</c:v>
                </c:pt>
                <c:pt idx="20">
                  <c:v>11085</c:v>
                </c:pt>
                <c:pt idx="21">
                  <c:v>11103</c:v>
                </c:pt>
                <c:pt idx="22">
                  <c:v>11113</c:v>
                </c:pt>
                <c:pt idx="23">
                  <c:v>11163</c:v>
                </c:pt>
                <c:pt idx="24">
                  <c:v>11163.5</c:v>
                </c:pt>
                <c:pt idx="25">
                  <c:v>11538</c:v>
                </c:pt>
                <c:pt idx="26">
                  <c:v>11736.5</c:v>
                </c:pt>
                <c:pt idx="27">
                  <c:v>11887</c:v>
                </c:pt>
                <c:pt idx="28">
                  <c:v>12174</c:v>
                </c:pt>
                <c:pt idx="29">
                  <c:v>12486.5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27-4FAF-8351-C7F20A950E2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267</c:v>
                </c:pt>
                <c:pt idx="3">
                  <c:v>280</c:v>
                </c:pt>
                <c:pt idx="4">
                  <c:v>290</c:v>
                </c:pt>
                <c:pt idx="5">
                  <c:v>293</c:v>
                </c:pt>
                <c:pt idx="6">
                  <c:v>319</c:v>
                </c:pt>
                <c:pt idx="7">
                  <c:v>329</c:v>
                </c:pt>
                <c:pt idx="8">
                  <c:v>435</c:v>
                </c:pt>
                <c:pt idx="9">
                  <c:v>510</c:v>
                </c:pt>
                <c:pt idx="10">
                  <c:v>609</c:v>
                </c:pt>
                <c:pt idx="11">
                  <c:v>972</c:v>
                </c:pt>
                <c:pt idx="12">
                  <c:v>1077</c:v>
                </c:pt>
                <c:pt idx="13">
                  <c:v>9384</c:v>
                </c:pt>
                <c:pt idx="14">
                  <c:v>9473.5</c:v>
                </c:pt>
                <c:pt idx="15">
                  <c:v>9923</c:v>
                </c:pt>
                <c:pt idx="16">
                  <c:v>10102.5</c:v>
                </c:pt>
                <c:pt idx="17">
                  <c:v>10748</c:v>
                </c:pt>
                <c:pt idx="18">
                  <c:v>10798</c:v>
                </c:pt>
                <c:pt idx="19">
                  <c:v>10798</c:v>
                </c:pt>
                <c:pt idx="20">
                  <c:v>11085</c:v>
                </c:pt>
                <c:pt idx="21">
                  <c:v>11103</c:v>
                </c:pt>
                <c:pt idx="22">
                  <c:v>11113</c:v>
                </c:pt>
                <c:pt idx="23">
                  <c:v>11163</c:v>
                </c:pt>
                <c:pt idx="24">
                  <c:v>11163.5</c:v>
                </c:pt>
                <c:pt idx="25">
                  <c:v>11538</c:v>
                </c:pt>
                <c:pt idx="26">
                  <c:v>11736.5</c:v>
                </c:pt>
                <c:pt idx="27">
                  <c:v>11887</c:v>
                </c:pt>
                <c:pt idx="28">
                  <c:v>12174</c:v>
                </c:pt>
                <c:pt idx="29">
                  <c:v>12486.5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27-4FAF-8351-C7F20A950E2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267</c:v>
                </c:pt>
                <c:pt idx="3">
                  <c:v>280</c:v>
                </c:pt>
                <c:pt idx="4">
                  <c:v>290</c:v>
                </c:pt>
                <c:pt idx="5">
                  <c:v>293</c:v>
                </c:pt>
                <c:pt idx="6">
                  <c:v>319</c:v>
                </c:pt>
                <c:pt idx="7">
                  <c:v>329</c:v>
                </c:pt>
                <c:pt idx="8">
                  <c:v>435</c:v>
                </c:pt>
                <c:pt idx="9">
                  <c:v>510</c:v>
                </c:pt>
                <c:pt idx="10">
                  <c:v>609</c:v>
                </c:pt>
                <c:pt idx="11">
                  <c:v>972</c:v>
                </c:pt>
                <c:pt idx="12">
                  <c:v>1077</c:v>
                </c:pt>
                <c:pt idx="13">
                  <c:v>9384</c:v>
                </c:pt>
                <c:pt idx="14">
                  <c:v>9473.5</c:v>
                </c:pt>
                <c:pt idx="15">
                  <c:v>9923</c:v>
                </c:pt>
                <c:pt idx="16">
                  <c:v>10102.5</c:v>
                </c:pt>
                <c:pt idx="17">
                  <c:v>10748</c:v>
                </c:pt>
                <c:pt idx="18">
                  <c:v>10798</c:v>
                </c:pt>
                <c:pt idx="19">
                  <c:v>10798</c:v>
                </c:pt>
                <c:pt idx="20">
                  <c:v>11085</c:v>
                </c:pt>
                <c:pt idx="21">
                  <c:v>11103</c:v>
                </c:pt>
                <c:pt idx="22">
                  <c:v>11113</c:v>
                </c:pt>
                <c:pt idx="23">
                  <c:v>11163</c:v>
                </c:pt>
                <c:pt idx="24">
                  <c:v>11163.5</c:v>
                </c:pt>
                <c:pt idx="25">
                  <c:v>11538</c:v>
                </c:pt>
                <c:pt idx="26">
                  <c:v>11736.5</c:v>
                </c:pt>
                <c:pt idx="27">
                  <c:v>11887</c:v>
                </c:pt>
                <c:pt idx="28">
                  <c:v>12174</c:v>
                </c:pt>
                <c:pt idx="29">
                  <c:v>12486.5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27-4FAF-8351-C7F20A950E2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267</c:v>
                </c:pt>
                <c:pt idx="3">
                  <c:v>280</c:v>
                </c:pt>
                <c:pt idx="4">
                  <c:v>290</c:v>
                </c:pt>
                <c:pt idx="5">
                  <c:v>293</c:v>
                </c:pt>
                <c:pt idx="6">
                  <c:v>319</c:v>
                </c:pt>
                <c:pt idx="7">
                  <c:v>329</c:v>
                </c:pt>
                <c:pt idx="8">
                  <c:v>435</c:v>
                </c:pt>
                <c:pt idx="9">
                  <c:v>510</c:v>
                </c:pt>
                <c:pt idx="10">
                  <c:v>609</c:v>
                </c:pt>
                <c:pt idx="11">
                  <c:v>972</c:v>
                </c:pt>
                <c:pt idx="12">
                  <c:v>1077</c:v>
                </c:pt>
                <c:pt idx="13">
                  <c:v>9384</c:v>
                </c:pt>
                <c:pt idx="14">
                  <c:v>9473.5</c:v>
                </c:pt>
                <c:pt idx="15">
                  <c:v>9923</c:v>
                </c:pt>
                <c:pt idx="16">
                  <c:v>10102.5</c:v>
                </c:pt>
                <c:pt idx="17">
                  <c:v>10748</c:v>
                </c:pt>
                <c:pt idx="18">
                  <c:v>10798</c:v>
                </c:pt>
                <c:pt idx="19">
                  <c:v>10798</c:v>
                </c:pt>
                <c:pt idx="20">
                  <c:v>11085</c:v>
                </c:pt>
                <c:pt idx="21">
                  <c:v>11103</c:v>
                </c:pt>
                <c:pt idx="22">
                  <c:v>11113</c:v>
                </c:pt>
                <c:pt idx="23">
                  <c:v>11163</c:v>
                </c:pt>
                <c:pt idx="24">
                  <c:v>11163.5</c:v>
                </c:pt>
                <c:pt idx="25">
                  <c:v>11538</c:v>
                </c:pt>
                <c:pt idx="26">
                  <c:v>11736.5</c:v>
                </c:pt>
                <c:pt idx="27">
                  <c:v>11887</c:v>
                </c:pt>
                <c:pt idx="28">
                  <c:v>12174</c:v>
                </c:pt>
                <c:pt idx="29">
                  <c:v>12486.5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2.3988552020406062E-2</c:v>
                </c:pt>
                <c:pt idx="1">
                  <c:v>2.3988552020406062E-2</c:v>
                </c:pt>
                <c:pt idx="2">
                  <c:v>1.587229465131685E-2</c:v>
                </c:pt>
                <c:pt idx="3">
                  <c:v>1.5477121071548463E-2</c:v>
                </c:pt>
                <c:pt idx="4">
                  <c:v>1.5173141394803549E-2</c:v>
                </c:pt>
                <c:pt idx="5">
                  <c:v>1.5081947491780073E-2</c:v>
                </c:pt>
                <c:pt idx="6">
                  <c:v>1.4291600332243297E-2</c:v>
                </c:pt>
                <c:pt idx="7">
                  <c:v>1.3987620655498382E-2</c:v>
                </c:pt>
                <c:pt idx="8">
                  <c:v>1.0765436082002292E-2</c:v>
                </c:pt>
                <c:pt idx="9">
                  <c:v>8.4855885064154344E-3</c:v>
                </c:pt>
                <c:pt idx="10">
                  <c:v>5.4761897066407834E-3</c:v>
                </c:pt>
                <c:pt idx="11">
                  <c:v>-5.5582725591996063E-3</c:v>
                </c:pt>
                <c:pt idx="12">
                  <c:v>-8.7500591650212026E-3</c:v>
                </c:pt>
                <c:pt idx="13">
                  <c:v>-0.2612659766370215</c:v>
                </c:pt>
                <c:pt idx="14">
                  <c:v>-0.26398659474388847</c:v>
                </c:pt>
                <c:pt idx="15">
                  <c:v>-0.27765048121357239</c:v>
                </c:pt>
                <c:pt idx="16">
                  <c:v>-0.28310691641114361</c:v>
                </c:pt>
                <c:pt idx="17">
                  <c:v>-0.30272880454502782</c:v>
                </c:pt>
                <c:pt idx="18">
                  <c:v>-0.30424870292875239</c:v>
                </c:pt>
                <c:pt idx="19">
                  <c:v>-0.30424870292875239</c:v>
                </c:pt>
                <c:pt idx="20">
                  <c:v>-0.31297291965133139</c:v>
                </c:pt>
                <c:pt idx="21">
                  <c:v>-0.31352008306947227</c:v>
                </c:pt>
                <c:pt idx="22">
                  <c:v>-0.31382406274621716</c:v>
                </c:pt>
                <c:pt idx="23">
                  <c:v>-0.31534396112994173</c:v>
                </c:pt>
                <c:pt idx="24">
                  <c:v>-0.31535916011377896</c:v>
                </c:pt>
                <c:pt idx="25">
                  <c:v>-0.32674319900787602</c:v>
                </c:pt>
                <c:pt idx="26">
                  <c:v>-0.33277719559126256</c:v>
                </c:pt>
                <c:pt idx="27">
                  <c:v>-0.33735208972627351</c:v>
                </c:pt>
                <c:pt idx="28">
                  <c:v>-0.34607630644885257</c:v>
                </c:pt>
                <c:pt idx="29">
                  <c:v>-0.35557567134713114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27-4FAF-8351-C7F20A950E2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267</c:v>
                </c:pt>
                <c:pt idx="3">
                  <c:v>280</c:v>
                </c:pt>
                <c:pt idx="4">
                  <c:v>290</c:v>
                </c:pt>
                <c:pt idx="5">
                  <c:v>293</c:v>
                </c:pt>
                <c:pt idx="6">
                  <c:v>319</c:v>
                </c:pt>
                <c:pt idx="7">
                  <c:v>329</c:v>
                </c:pt>
                <c:pt idx="8">
                  <c:v>435</c:v>
                </c:pt>
                <c:pt idx="9">
                  <c:v>510</c:v>
                </c:pt>
                <c:pt idx="10">
                  <c:v>609</c:v>
                </c:pt>
                <c:pt idx="11">
                  <c:v>972</c:v>
                </c:pt>
                <c:pt idx="12">
                  <c:v>1077</c:v>
                </c:pt>
                <c:pt idx="13">
                  <c:v>9384</c:v>
                </c:pt>
                <c:pt idx="14">
                  <c:v>9473.5</c:v>
                </c:pt>
                <c:pt idx="15">
                  <c:v>9923</c:v>
                </c:pt>
                <c:pt idx="16">
                  <c:v>10102.5</c:v>
                </c:pt>
                <c:pt idx="17">
                  <c:v>10748</c:v>
                </c:pt>
                <c:pt idx="18">
                  <c:v>10798</c:v>
                </c:pt>
                <c:pt idx="19">
                  <c:v>10798</c:v>
                </c:pt>
                <c:pt idx="20">
                  <c:v>11085</c:v>
                </c:pt>
                <c:pt idx="21">
                  <c:v>11103</c:v>
                </c:pt>
                <c:pt idx="22">
                  <c:v>11113</c:v>
                </c:pt>
                <c:pt idx="23">
                  <c:v>11163</c:v>
                </c:pt>
                <c:pt idx="24">
                  <c:v>11163.5</c:v>
                </c:pt>
                <c:pt idx="25">
                  <c:v>11538</c:v>
                </c:pt>
                <c:pt idx="26">
                  <c:v>11736.5</c:v>
                </c:pt>
                <c:pt idx="27">
                  <c:v>11887</c:v>
                </c:pt>
                <c:pt idx="28">
                  <c:v>12174</c:v>
                </c:pt>
                <c:pt idx="29">
                  <c:v>12486.5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  <c:pt idx="24">
                  <c:v>-0.46800250000524102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27-4FAF-8351-C7F20A950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7115184"/>
        <c:axId val="1"/>
      </c:scatterChart>
      <c:valAx>
        <c:axId val="567115184"/>
        <c:scaling>
          <c:orientation val="minMax"/>
          <c:min val="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17399663823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25"/>
          <c:min val="-0.3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7115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167920503250616"/>
          <c:y val="0.92073298764483702"/>
          <c:w val="0.7013377636859285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GK Cas - O-C Diagr.</a:t>
            </a:r>
          </a:p>
        </c:rich>
      </c:tx>
      <c:layout>
        <c:manualLayout>
          <c:xMode val="edge"/>
          <c:yMode val="edge"/>
          <c:x val="0.385756676557863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14540059347182"/>
          <c:y val="0.1458966565349544"/>
          <c:w val="0.82789317507418403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267</c:v>
                </c:pt>
                <c:pt idx="3">
                  <c:v>280</c:v>
                </c:pt>
                <c:pt idx="4">
                  <c:v>290</c:v>
                </c:pt>
                <c:pt idx="5">
                  <c:v>293</c:v>
                </c:pt>
                <c:pt idx="6">
                  <c:v>319</c:v>
                </c:pt>
                <c:pt idx="7">
                  <c:v>329</c:v>
                </c:pt>
                <c:pt idx="8">
                  <c:v>435</c:v>
                </c:pt>
                <c:pt idx="9">
                  <c:v>510</c:v>
                </c:pt>
                <c:pt idx="10">
                  <c:v>609</c:v>
                </c:pt>
                <c:pt idx="11">
                  <c:v>972</c:v>
                </c:pt>
                <c:pt idx="12">
                  <c:v>1077</c:v>
                </c:pt>
                <c:pt idx="13">
                  <c:v>9384</c:v>
                </c:pt>
                <c:pt idx="14">
                  <c:v>9473.5</c:v>
                </c:pt>
                <c:pt idx="15">
                  <c:v>9923</c:v>
                </c:pt>
                <c:pt idx="16">
                  <c:v>10102.5</c:v>
                </c:pt>
                <c:pt idx="17">
                  <c:v>10748</c:v>
                </c:pt>
                <c:pt idx="18">
                  <c:v>10798</c:v>
                </c:pt>
                <c:pt idx="19">
                  <c:v>10798</c:v>
                </c:pt>
                <c:pt idx="20">
                  <c:v>11085</c:v>
                </c:pt>
                <c:pt idx="21">
                  <c:v>11103</c:v>
                </c:pt>
                <c:pt idx="22">
                  <c:v>11113</c:v>
                </c:pt>
                <c:pt idx="23">
                  <c:v>11163</c:v>
                </c:pt>
                <c:pt idx="24">
                  <c:v>11163.5</c:v>
                </c:pt>
                <c:pt idx="25">
                  <c:v>11538</c:v>
                </c:pt>
                <c:pt idx="26">
                  <c:v>11736.5</c:v>
                </c:pt>
                <c:pt idx="27">
                  <c:v>11887</c:v>
                </c:pt>
                <c:pt idx="28">
                  <c:v>12174</c:v>
                </c:pt>
                <c:pt idx="29">
                  <c:v>12486.5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0</c:v>
                </c:pt>
                <c:pt idx="1">
                  <c:v>-2.0000000000436557E-2</c:v>
                </c:pt>
                <c:pt idx="2">
                  <c:v>-1.7905000000610016E-2</c:v>
                </c:pt>
                <c:pt idx="3">
                  <c:v>9.7999999998137355E-3</c:v>
                </c:pt>
                <c:pt idx="4">
                  <c:v>4.0649999999004649E-2</c:v>
                </c:pt>
                <c:pt idx="5">
                  <c:v>-4.7495000002527377E-2</c:v>
                </c:pt>
                <c:pt idx="6">
                  <c:v>2.291499999773805E-2</c:v>
                </c:pt>
                <c:pt idx="7">
                  <c:v>4.3764999998529674E-2</c:v>
                </c:pt>
                <c:pt idx="8">
                  <c:v>2.9749999994237442E-3</c:v>
                </c:pt>
                <c:pt idx="9">
                  <c:v>1.1350000000675209E-2</c:v>
                </c:pt>
                <c:pt idx="10">
                  <c:v>-1.6435000001365552E-2</c:v>
                </c:pt>
                <c:pt idx="11">
                  <c:v>6.0200000007171184E-3</c:v>
                </c:pt>
                <c:pt idx="12">
                  <c:v>-2.005500000086613E-2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09-4630-BB65-B509AB3B4ED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Active!$D$22:$D$47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8.9999999999999998E-4</c:v>
                  </c:pt>
                  <c:pt idx="15">
                    <c:v>1.1000000000000001E-3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6.7000000000000002E-3</c:v>
                  </c:pt>
                  <c:pt idx="22">
                    <c:v>0</c:v>
                  </c:pt>
                  <c:pt idx="23">
                    <c:v>2.5999999999999999E-3</c:v>
                  </c:pt>
                  <c:pt idx="24">
                    <c:v>0</c:v>
                  </c:pt>
                  <c:pt idx="25">
                    <c:v>1.1000000000000001E-3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267</c:v>
                </c:pt>
                <c:pt idx="3">
                  <c:v>280</c:v>
                </c:pt>
                <c:pt idx="4">
                  <c:v>290</c:v>
                </c:pt>
                <c:pt idx="5">
                  <c:v>293</c:v>
                </c:pt>
                <c:pt idx="6">
                  <c:v>319</c:v>
                </c:pt>
                <c:pt idx="7">
                  <c:v>329</c:v>
                </c:pt>
                <c:pt idx="8">
                  <c:v>435</c:v>
                </c:pt>
                <c:pt idx="9">
                  <c:v>510</c:v>
                </c:pt>
                <c:pt idx="10">
                  <c:v>609</c:v>
                </c:pt>
                <c:pt idx="11">
                  <c:v>972</c:v>
                </c:pt>
                <c:pt idx="12">
                  <c:v>1077</c:v>
                </c:pt>
                <c:pt idx="13">
                  <c:v>9384</c:v>
                </c:pt>
                <c:pt idx="14">
                  <c:v>9473.5</c:v>
                </c:pt>
                <c:pt idx="15">
                  <c:v>9923</c:v>
                </c:pt>
                <c:pt idx="16">
                  <c:v>10102.5</c:v>
                </c:pt>
                <c:pt idx="17">
                  <c:v>10748</c:v>
                </c:pt>
                <c:pt idx="18">
                  <c:v>10798</c:v>
                </c:pt>
                <c:pt idx="19">
                  <c:v>10798</c:v>
                </c:pt>
                <c:pt idx="20">
                  <c:v>11085</c:v>
                </c:pt>
                <c:pt idx="21">
                  <c:v>11103</c:v>
                </c:pt>
                <c:pt idx="22">
                  <c:v>11113</c:v>
                </c:pt>
                <c:pt idx="23">
                  <c:v>11163</c:v>
                </c:pt>
                <c:pt idx="24">
                  <c:v>11163.5</c:v>
                </c:pt>
                <c:pt idx="25">
                  <c:v>11538</c:v>
                </c:pt>
                <c:pt idx="26">
                  <c:v>11736.5</c:v>
                </c:pt>
                <c:pt idx="27">
                  <c:v>11887</c:v>
                </c:pt>
                <c:pt idx="28">
                  <c:v>12174</c:v>
                </c:pt>
                <c:pt idx="29">
                  <c:v>12486.5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09-4630-BB65-B509AB3B4ED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8.9999999999999998E-4</c:v>
                  </c:pt>
                  <c:pt idx="16">
                    <c:v>1.1000000000000001E-3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6.7000000000000002E-3</c:v>
                  </c:pt>
                  <c:pt idx="23">
                    <c:v>0</c:v>
                  </c:pt>
                  <c:pt idx="24">
                    <c:v>2.5999999999999999E-3</c:v>
                  </c:pt>
                  <c:pt idx="25">
                    <c:v>0</c:v>
                  </c:pt>
                  <c:pt idx="26">
                    <c:v>1.1000000000000001E-3</c:v>
                  </c:pt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8.9999999999999998E-4</c:v>
                  </c:pt>
                  <c:pt idx="16">
                    <c:v>1.1000000000000001E-3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6.7000000000000002E-3</c:v>
                  </c:pt>
                  <c:pt idx="23">
                    <c:v>0</c:v>
                  </c:pt>
                  <c:pt idx="24">
                    <c:v>2.5999999999999999E-3</c:v>
                  </c:pt>
                  <c:pt idx="25">
                    <c:v>0</c:v>
                  </c:pt>
                  <c:pt idx="2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267</c:v>
                </c:pt>
                <c:pt idx="3">
                  <c:v>280</c:v>
                </c:pt>
                <c:pt idx="4">
                  <c:v>290</c:v>
                </c:pt>
                <c:pt idx="5">
                  <c:v>293</c:v>
                </c:pt>
                <c:pt idx="6">
                  <c:v>319</c:v>
                </c:pt>
                <c:pt idx="7">
                  <c:v>329</c:v>
                </c:pt>
                <c:pt idx="8">
                  <c:v>435</c:v>
                </c:pt>
                <c:pt idx="9">
                  <c:v>510</c:v>
                </c:pt>
                <c:pt idx="10">
                  <c:v>609</c:v>
                </c:pt>
                <c:pt idx="11">
                  <c:v>972</c:v>
                </c:pt>
                <c:pt idx="12">
                  <c:v>1077</c:v>
                </c:pt>
                <c:pt idx="13">
                  <c:v>9384</c:v>
                </c:pt>
                <c:pt idx="14">
                  <c:v>9473.5</c:v>
                </c:pt>
                <c:pt idx="15">
                  <c:v>9923</c:v>
                </c:pt>
                <c:pt idx="16">
                  <c:v>10102.5</c:v>
                </c:pt>
                <c:pt idx="17">
                  <c:v>10748</c:v>
                </c:pt>
                <c:pt idx="18">
                  <c:v>10798</c:v>
                </c:pt>
                <c:pt idx="19">
                  <c:v>10798</c:v>
                </c:pt>
                <c:pt idx="20">
                  <c:v>11085</c:v>
                </c:pt>
                <c:pt idx="21">
                  <c:v>11103</c:v>
                </c:pt>
                <c:pt idx="22">
                  <c:v>11113</c:v>
                </c:pt>
                <c:pt idx="23">
                  <c:v>11163</c:v>
                </c:pt>
                <c:pt idx="24">
                  <c:v>11163.5</c:v>
                </c:pt>
                <c:pt idx="25">
                  <c:v>11538</c:v>
                </c:pt>
                <c:pt idx="26">
                  <c:v>11736.5</c:v>
                </c:pt>
                <c:pt idx="27">
                  <c:v>11887</c:v>
                </c:pt>
                <c:pt idx="28">
                  <c:v>12174</c:v>
                </c:pt>
                <c:pt idx="29">
                  <c:v>12486.5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13">
                  <c:v>-0.26325999999971827</c:v>
                </c:pt>
                <c:pt idx="14">
                  <c:v>-0.26285249999637017</c:v>
                </c:pt>
                <c:pt idx="15">
                  <c:v>-0.28054499999416294</c:v>
                </c:pt>
                <c:pt idx="16">
                  <c:v>-0.278287499997532</c:v>
                </c:pt>
                <c:pt idx="17">
                  <c:v>-0.3039199999984703</c:v>
                </c:pt>
                <c:pt idx="21">
                  <c:v>-0.31454500000108965</c:v>
                </c:pt>
                <c:pt idx="22">
                  <c:v>-0.3137950000091223</c:v>
                </c:pt>
                <c:pt idx="28">
                  <c:v>-0.3445099999953527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09-4630-BB65-B509AB3B4ED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267</c:v>
                </c:pt>
                <c:pt idx="3">
                  <c:v>280</c:v>
                </c:pt>
                <c:pt idx="4">
                  <c:v>290</c:v>
                </c:pt>
                <c:pt idx="5">
                  <c:v>293</c:v>
                </c:pt>
                <c:pt idx="6">
                  <c:v>319</c:v>
                </c:pt>
                <c:pt idx="7">
                  <c:v>329</c:v>
                </c:pt>
                <c:pt idx="8">
                  <c:v>435</c:v>
                </c:pt>
                <c:pt idx="9">
                  <c:v>510</c:v>
                </c:pt>
                <c:pt idx="10">
                  <c:v>609</c:v>
                </c:pt>
                <c:pt idx="11">
                  <c:v>972</c:v>
                </c:pt>
                <c:pt idx="12">
                  <c:v>1077</c:v>
                </c:pt>
                <c:pt idx="13">
                  <c:v>9384</c:v>
                </c:pt>
                <c:pt idx="14">
                  <c:v>9473.5</c:v>
                </c:pt>
                <c:pt idx="15">
                  <c:v>9923</c:v>
                </c:pt>
                <c:pt idx="16">
                  <c:v>10102.5</c:v>
                </c:pt>
                <c:pt idx="17">
                  <c:v>10748</c:v>
                </c:pt>
                <c:pt idx="18">
                  <c:v>10798</c:v>
                </c:pt>
                <c:pt idx="19">
                  <c:v>10798</c:v>
                </c:pt>
                <c:pt idx="20">
                  <c:v>11085</c:v>
                </c:pt>
                <c:pt idx="21">
                  <c:v>11103</c:v>
                </c:pt>
                <c:pt idx="22">
                  <c:v>11113</c:v>
                </c:pt>
                <c:pt idx="23">
                  <c:v>11163</c:v>
                </c:pt>
                <c:pt idx="24">
                  <c:v>11163.5</c:v>
                </c:pt>
                <c:pt idx="25">
                  <c:v>11538</c:v>
                </c:pt>
                <c:pt idx="26">
                  <c:v>11736.5</c:v>
                </c:pt>
                <c:pt idx="27">
                  <c:v>11887</c:v>
                </c:pt>
                <c:pt idx="28">
                  <c:v>12174</c:v>
                </c:pt>
                <c:pt idx="29">
                  <c:v>12486.5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8">
                  <c:v>-0.30446999999549007</c:v>
                </c:pt>
                <c:pt idx="19">
                  <c:v>-0.30446999999549007</c:v>
                </c:pt>
                <c:pt idx="20">
                  <c:v>-0.31377499987138435</c:v>
                </c:pt>
                <c:pt idx="23">
                  <c:v>-0.31614499999705004</c:v>
                </c:pt>
                <c:pt idx="25">
                  <c:v>-0.32646999999997206</c:v>
                </c:pt>
                <c:pt idx="26">
                  <c:v>-0.33329750000120839</c:v>
                </c:pt>
                <c:pt idx="27">
                  <c:v>-0.33670499999425374</c:v>
                </c:pt>
                <c:pt idx="29">
                  <c:v>-0.35464750000392087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09-4630-BB65-B509AB3B4ED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267</c:v>
                </c:pt>
                <c:pt idx="3">
                  <c:v>280</c:v>
                </c:pt>
                <c:pt idx="4">
                  <c:v>290</c:v>
                </c:pt>
                <c:pt idx="5">
                  <c:v>293</c:v>
                </c:pt>
                <c:pt idx="6">
                  <c:v>319</c:v>
                </c:pt>
                <c:pt idx="7">
                  <c:v>329</c:v>
                </c:pt>
                <c:pt idx="8">
                  <c:v>435</c:v>
                </c:pt>
                <c:pt idx="9">
                  <c:v>510</c:v>
                </c:pt>
                <c:pt idx="10">
                  <c:v>609</c:v>
                </c:pt>
                <c:pt idx="11">
                  <c:v>972</c:v>
                </c:pt>
                <c:pt idx="12">
                  <c:v>1077</c:v>
                </c:pt>
                <c:pt idx="13">
                  <c:v>9384</c:v>
                </c:pt>
                <c:pt idx="14">
                  <c:v>9473.5</c:v>
                </c:pt>
                <c:pt idx="15">
                  <c:v>9923</c:v>
                </c:pt>
                <c:pt idx="16">
                  <c:v>10102.5</c:v>
                </c:pt>
                <c:pt idx="17">
                  <c:v>10748</c:v>
                </c:pt>
                <c:pt idx="18">
                  <c:v>10798</c:v>
                </c:pt>
                <c:pt idx="19">
                  <c:v>10798</c:v>
                </c:pt>
                <c:pt idx="20">
                  <c:v>11085</c:v>
                </c:pt>
                <c:pt idx="21">
                  <c:v>11103</c:v>
                </c:pt>
                <c:pt idx="22">
                  <c:v>11113</c:v>
                </c:pt>
                <c:pt idx="23">
                  <c:v>11163</c:v>
                </c:pt>
                <c:pt idx="24">
                  <c:v>11163.5</c:v>
                </c:pt>
                <c:pt idx="25">
                  <c:v>11538</c:v>
                </c:pt>
                <c:pt idx="26">
                  <c:v>11736.5</c:v>
                </c:pt>
                <c:pt idx="27">
                  <c:v>11887</c:v>
                </c:pt>
                <c:pt idx="28">
                  <c:v>12174</c:v>
                </c:pt>
                <c:pt idx="29">
                  <c:v>12486.5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09-4630-BB65-B509AB3B4ED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267</c:v>
                </c:pt>
                <c:pt idx="3">
                  <c:v>280</c:v>
                </c:pt>
                <c:pt idx="4">
                  <c:v>290</c:v>
                </c:pt>
                <c:pt idx="5">
                  <c:v>293</c:v>
                </c:pt>
                <c:pt idx="6">
                  <c:v>319</c:v>
                </c:pt>
                <c:pt idx="7">
                  <c:v>329</c:v>
                </c:pt>
                <c:pt idx="8">
                  <c:v>435</c:v>
                </c:pt>
                <c:pt idx="9">
                  <c:v>510</c:v>
                </c:pt>
                <c:pt idx="10">
                  <c:v>609</c:v>
                </c:pt>
                <c:pt idx="11">
                  <c:v>972</c:v>
                </c:pt>
                <c:pt idx="12">
                  <c:v>1077</c:v>
                </c:pt>
                <c:pt idx="13">
                  <c:v>9384</c:v>
                </c:pt>
                <c:pt idx="14">
                  <c:v>9473.5</c:v>
                </c:pt>
                <c:pt idx="15">
                  <c:v>9923</c:v>
                </c:pt>
                <c:pt idx="16">
                  <c:v>10102.5</c:v>
                </c:pt>
                <c:pt idx="17">
                  <c:v>10748</c:v>
                </c:pt>
                <c:pt idx="18">
                  <c:v>10798</c:v>
                </c:pt>
                <c:pt idx="19">
                  <c:v>10798</c:v>
                </c:pt>
                <c:pt idx="20">
                  <c:v>11085</c:v>
                </c:pt>
                <c:pt idx="21">
                  <c:v>11103</c:v>
                </c:pt>
                <c:pt idx="22">
                  <c:v>11113</c:v>
                </c:pt>
                <c:pt idx="23">
                  <c:v>11163</c:v>
                </c:pt>
                <c:pt idx="24">
                  <c:v>11163.5</c:v>
                </c:pt>
                <c:pt idx="25">
                  <c:v>11538</c:v>
                </c:pt>
                <c:pt idx="26">
                  <c:v>11736.5</c:v>
                </c:pt>
                <c:pt idx="27">
                  <c:v>11887</c:v>
                </c:pt>
                <c:pt idx="28">
                  <c:v>12174</c:v>
                </c:pt>
                <c:pt idx="29">
                  <c:v>12486.5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09-4630-BB65-B509AB3B4ED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267</c:v>
                </c:pt>
                <c:pt idx="3">
                  <c:v>280</c:v>
                </c:pt>
                <c:pt idx="4">
                  <c:v>290</c:v>
                </c:pt>
                <c:pt idx="5">
                  <c:v>293</c:v>
                </c:pt>
                <c:pt idx="6">
                  <c:v>319</c:v>
                </c:pt>
                <c:pt idx="7">
                  <c:v>329</c:v>
                </c:pt>
                <c:pt idx="8">
                  <c:v>435</c:v>
                </c:pt>
                <c:pt idx="9">
                  <c:v>510</c:v>
                </c:pt>
                <c:pt idx="10">
                  <c:v>609</c:v>
                </c:pt>
                <c:pt idx="11">
                  <c:v>972</c:v>
                </c:pt>
                <c:pt idx="12">
                  <c:v>1077</c:v>
                </c:pt>
                <c:pt idx="13">
                  <c:v>9384</c:v>
                </c:pt>
                <c:pt idx="14">
                  <c:v>9473.5</c:v>
                </c:pt>
                <c:pt idx="15">
                  <c:v>9923</c:v>
                </c:pt>
                <c:pt idx="16">
                  <c:v>10102.5</c:v>
                </c:pt>
                <c:pt idx="17">
                  <c:v>10748</c:v>
                </c:pt>
                <c:pt idx="18">
                  <c:v>10798</c:v>
                </c:pt>
                <c:pt idx="19">
                  <c:v>10798</c:v>
                </c:pt>
                <c:pt idx="20">
                  <c:v>11085</c:v>
                </c:pt>
                <c:pt idx="21">
                  <c:v>11103</c:v>
                </c:pt>
                <c:pt idx="22">
                  <c:v>11113</c:v>
                </c:pt>
                <c:pt idx="23">
                  <c:v>11163</c:v>
                </c:pt>
                <c:pt idx="24">
                  <c:v>11163.5</c:v>
                </c:pt>
                <c:pt idx="25">
                  <c:v>11538</c:v>
                </c:pt>
                <c:pt idx="26">
                  <c:v>11736.5</c:v>
                </c:pt>
                <c:pt idx="27">
                  <c:v>11887</c:v>
                </c:pt>
                <c:pt idx="28">
                  <c:v>12174</c:v>
                </c:pt>
                <c:pt idx="29">
                  <c:v>12486.5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309-4630-BB65-B509AB3B4ED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267</c:v>
                </c:pt>
                <c:pt idx="3">
                  <c:v>280</c:v>
                </c:pt>
                <c:pt idx="4">
                  <c:v>290</c:v>
                </c:pt>
                <c:pt idx="5">
                  <c:v>293</c:v>
                </c:pt>
                <c:pt idx="6">
                  <c:v>319</c:v>
                </c:pt>
                <c:pt idx="7">
                  <c:v>329</c:v>
                </c:pt>
                <c:pt idx="8">
                  <c:v>435</c:v>
                </c:pt>
                <c:pt idx="9">
                  <c:v>510</c:v>
                </c:pt>
                <c:pt idx="10">
                  <c:v>609</c:v>
                </c:pt>
                <c:pt idx="11">
                  <c:v>972</c:v>
                </c:pt>
                <c:pt idx="12">
                  <c:v>1077</c:v>
                </c:pt>
                <c:pt idx="13">
                  <c:v>9384</c:v>
                </c:pt>
                <c:pt idx="14">
                  <c:v>9473.5</c:v>
                </c:pt>
                <c:pt idx="15">
                  <c:v>9923</c:v>
                </c:pt>
                <c:pt idx="16">
                  <c:v>10102.5</c:v>
                </c:pt>
                <c:pt idx="17">
                  <c:v>10748</c:v>
                </c:pt>
                <c:pt idx="18">
                  <c:v>10798</c:v>
                </c:pt>
                <c:pt idx="19">
                  <c:v>10798</c:v>
                </c:pt>
                <c:pt idx="20">
                  <c:v>11085</c:v>
                </c:pt>
                <c:pt idx="21">
                  <c:v>11103</c:v>
                </c:pt>
                <c:pt idx="22">
                  <c:v>11113</c:v>
                </c:pt>
                <c:pt idx="23">
                  <c:v>11163</c:v>
                </c:pt>
                <c:pt idx="24">
                  <c:v>11163.5</c:v>
                </c:pt>
                <c:pt idx="25">
                  <c:v>11538</c:v>
                </c:pt>
                <c:pt idx="26">
                  <c:v>11736.5</c:v>
                </c:pt>
                <c:pt idx="27">
                  <c:v>11887</c:v>
                </c:pt>
                <c:pt idx="28">
                  <c:v>12174</c:v>
                </c:pt>
                <c:pt idx="29">
                  <c:v>12486.5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2.3988552020406062E-2</c:v>
                </c:pt>
                <c:pt idx="1">
                  <c:v>2.3988552020406062E-2</c:v>
                </c:pt>
                <c:pt idx="2">
                  <c:v>1.587229465131685E-2</c:v>
                </c:pt>
                <c:pt idx="3">
                  <c:v>1.5477121071548463E-2</c:v>
                </c:pt>
                <c:pt idx="4">
                  <c:v>1.5173141394803549E-2</c:v>
                </c:pt>
                <c:pt idx="5">
                  <c:v>1.5081947491780073E-2</c:v>
                </c:pt>
                <c:pt idx="6">
                  <c:v>1.4291600332243297E-2</c:v>
                </c:pt>
                <c:pt idx="7">
                  <c:v>1.3987620655498382E-2</c:v>
                </c:pt>
                <c:pt idx="8">
                  <c:v>1.0765436082002292E-2</c:v>
                </c:pt>
                <c:pt idx="9">
                  <c:v>8.4855885064154344E-3</c:v>
                </c:pt>
                <c:pt idx="10">
                  <c:v>5.4761897066407834E-3</c:v>
                </c:pt>
                <c:pt idx="11">
                  <c:v>-5.5582725591996063E-3</c:v>
                </c:pt>
                <c:pt idx="12">
                  <c:v>-8.7500591650212026E-3</c:v>
                </c:pt>
                <c:pt idx="13">
                  <c:v>-0.2612659766370215</c:v>
                </c:pt>
                <c:pt idx="14">
                  <c:v>-0.26398659474388847</c:v>
                </c:pt>
                <c:pt idx="15">
                  <c:v>-0.27765048121357239</c:v>
                </c:pt>
                <c:pt idx="16">
                  <c:v>-0.28310691641114361</c:v>
                </c:pt>
                <c:pt idx="17">
                  <c:v>-0.30272880454502782</c:v>
                </c:pt>
                <c:pt idx="18">
                  <c:v>-0.30424870292875239</c:v>
                </c:pt>
                <c:pt idx="19">
                  <c:v>-0.30424870292875239</c:v>
                </c:pt>
                <c:pt idx="20">
                  <c:v>-0.31297291965133139</c:v>
                </c:pt>
                <c:pt idx="21">
                  <c:v>-0.31352008306947227</c:v>
                </c:pt>
                <c:pt idx="22">
                  <c:v>-0.31382406274621716</c:v>
                </c:pt>
                <c:pt idx="23">
                  <c:v>-0.31534396112994173</c:v>
                </c:pt>
                <c:pt idx="24">
                  <c:v>-0.31535916011377896</c:v>
                </c:pt>
                <c:pt idx="25">
                  <c:v>-0.32674319900787602</c:v>
                </c:pt>
                <c:pt idx="26">
                  <c:v>-0.33277719559126256</c:v>
                </c:pt>
                <c:pt idx="27">
                  <c:v>-0.33735208972627351</c:v>
                </c:pt>
                <c:pt idx="28">
                  <c:v>-0.34607630644885257</c:v>
                </c:pt>
                <c:pt idx="29">
                  <c:v>-0.35557567134713114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309-4630-BB65-B509AB3B4ED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267</c:v>
                </c:pt>
                <c:pt idx="3">
                  <c:v>280</c:v>
                </c:pt>
                <c:pt idx="4">
                  <c:v>290</c:v>
                </c:pt>
                <c:pt idx="5">
                  <c:v>293</c:v>
                </c:pt>
                <c:pt idx="6">
                  <c:v>319</c:v>
                </c:pt>
                <c:pt idx="7">
                  <c:v>329</c:v>
                </c:pt>
                <c:pt idx="8">
                  <c:v>435</c:v>
                </c:pt>
                <c:pt idx="9">
                  <c:v>510</c:v>
                </c:pt>
                <c:pt idx="10">
                  <c:v>609</c:v>
                </c:pt>
                <c:pt idx="11">
                  <c:v>972</c:v>
                </c:pt>
                <c:pt idx="12">
                  <c:v>1077</c:v>
                </c:pt>
                <c:pt idx="13">
                  <c:v>9384</c:v>
                </c:pt>
                <c:pt idx="14">
                  <c:v>9473.5</c:v>
                </c:pt>
                <c:pt idx="15">
                  <c:v>9923</c:v>
                </c:pt>
                <c:pt idx="16">
                  <c:v>10102.5</c:v>
                </c:pt>
                <c:pt idx="17">
                  <c:v>10748</c:v>
                </c:pt>
                <c:pt idx="18">
                  <c:v>10798</c:v>
                </c:pt>
                <c:pt idx="19">
                  <c:v>10798</c:v>
                </c:pt>
                <c:pt idx="20">
                  <c:v>11085</c:v>
                </c:pt>
                <c:pt idx="21">
                  <c:v>11103</c:v>
                </c:pt>
                <c:pt idx="22">
                  <c:v>11113</c:v>
                </c:pt>
                <c:pt idx="23">
                  <c:v>11163</c:v>
                </c:pt>
                <c:pt idx="24">
                  <c:v>11163.5</c:v>
                </c:pt>
                <c:pt idx="25">
                  <c:v>11538</c:v>
                </c:pt>
                <c:pt idx="26">
                  <c:v>11736.5</c:v>
                </c:pt>
                <c:pt idx="27">
                  <c:v>11887</c:v>
                </c:pt>
                <c:pt idx="28">
                  <c:v>12174</c:v>
                </c:pt>
                <c:pt idx="29">
                  <c:v>12486.5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  <c:pt idx="24">
                  <c:v>-0.46800250000524102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309-4630-BB65-B509AB3B4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932432"/>
        <c:axId val="1"/>
      </c:scatterChart>
      <c:valAx>
        <c:axId val="427932432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2878338278932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96142433234421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932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545994065281898"/>
          <c:y val="0.92097264437689974"/>
          <c:w val="0.7002967359050444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200025</xdr:colOff>
      <xdr:row>18</xdr:row>
      <xdr:rowOff>38100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62218EFC-C1D8-A669-6513-B96275CA3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390525</xdr:colOff>
      <xdr:row>0</xdr:row>
      <xdr:rowOff>0</xdr:rowOff>
    </xdr:from>
    <xdr:to>
      <xdr:col>26</xdr:col>
      <xdr:colOff>638175</xdr:colOff>
      <xdr:row>18</xdr:row>
      <xdr:rowOff>47625</xdr:rowOff>
    </xdr:to>
    <xdr:graphicFrame macro="">
      <xdr:nvGraphicFramePr>
        <xdr:cNvPr id="1033" name="Chart 7">
          <a:extLst>
            <a:ext uri="{FF2B5EF4-FFF2-40B4-BE49-F238E27FC236}">
              <a16:creationId xmlns:a16="http://schemas.microsoft.com/office/drawing/2014/main" id="{51268500-A282-2B17-1721-18CAF16C7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83" TargetMode="External"/><Relationship Id="rId13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172" TargetMode="External"/><Relationship Id="rId7" Type="http://schemas.openxmlformats.org/officeDocument/2006/relationships/hyperlink" Target="http://www.konkoly.hu/cgi-bin/IBVS?5806" TargetMode="External"/><Relationship Id="rId12" Type="http://schemas.openxmlformats.org/officeDocument/2006/relationships/hyperlink" Target="http://www.konkoly.hu/cgi-bin/IBVS?5960" TargetMode="External"/><Relationship Id="rId2" Type="http://schemas.openxmlformats.org/officeDocument/2006/relationships/hyperlink" Target="http://www.bav-astro.de/sfs/BAVM_link.php?BAVMnr=172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690" TargetMode="External"/><Relationship Id="rId11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bav-astro.de/sfs/BAVM_link.php?BAVMnr=173" TargetMode="External"/><Relationship Id="rId10" Type="http://schemas.openxmlformats.org/officeDocument/2006/relationships/hyperlink" Target="http://www.bav-astro.de/sfs/BAVM_link.php?BAVMnr=186" TargetMode="External"/><Relationship Id="rId4" Type="http://schemas.openxmlformats.org/officeDocument/2006/relationships/hyperlink" Target="http://www.bav-astro.de/sfs/BAVM_link.php?BAVMnr=172" TargetMode="External"/><Relationship Id="rId9" Type="http://schemas.openxmlformats.org/officeDocument/2006/relationships/hyperlink" Target="http://www.bav-astro.de/sfs/BAVM_link.php?BAVMnr=183" TargetMode="External"/><Relationship Id="rId14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3"/>
  <sheetViews>
    <sheetView tabSelected="1" workbookViewId="0">
      <pane xSplit="14" ySplit="21" topLeftCell="O33" activePane="bottomRight" state="frozen"/>
      <selection pane="topRight" activeCell="O1" sqref="O1"/>
      <selection pane="bottomLeft" activeCell="A22" sqref="A22"/>
      <selection pane="bottomRight" activeCell="A33" sqref="A3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25</v>
      </c>
      <c r="B2" s="11" t="s">
        <v>33</v>
      </c>
      <c r="C2" s="10" t="s">
        <v>32</v>
      </c>
    </row>
    <row r="3" spans="1:6" ht="13.5" thickBot="1" x14ac:dyDescent="0.25"/>
    <row r="4" spans="1:6" ht="14.25" thickTop="1" thickBot="1" x14ac:dyDescent="0.25">
      <c r="A4" s="7" t="s">
        <v>1</v>
      </c>
      <c r="C4" s="3">
        <v>28495.469000000001</v>
      </c>
      <c r="D4" s="4">
        <v>2.303715</v>
      </c>
    </row>
    <row r="5" spans="1:6" ht="13.5" thickTop="1" x14ac:dyDescent="0.2">
      <c r="A5" s="21" t="s">
        <v>37</v>
      </c>
      <c r="B5" s="22"/>
      <c r="C5" s="23">
        <v>-9.5</v>
      </c>
      <c r="D5" s="22" t="s">
        <v>38</v>
      </c>
    </row>
    <row r="6" spans="1:6" x14ac:dyDescent="0.2">
      <c r="A6" s="7" t="s">
        <v>2</v>
      </c>
    </row>
    <row r="7" spans="1:6" x14ac:dyDescent="0.2">
      <c r="A7" t="s">
        <v>3</v>
      </c>
      <c r="C7">
        <f>+C4</f>
        <v>28495.469000000001</v>
      </c>
    </row>
    <row r="8" spans="1:6" x14ac:dyDescent="0.2">
      <c r="A8" t="s">
        <v>4</v>
      </c>
      <c r="C8">
        <f>+D4</f>
        <v>2.303715</v>
      </c>
    </row>
    <row r="9" spans="1:6" x14ac:dyDescent="0.2">
      <c r="A9" s="35" t="s">
        <v>46</v>
      </c>
      <c r="B9" s="36">
        <v>32</v>
      </c>
      <c r="C9" s="25" t="str">
        <f>"F"&amp;B9</f>
        <v>F32</v>
      </c>
      <c r="D9" s="20" t="str">
        <f>"G"&amp;B9</f>
        <v>G32</v>
      </c>
    </row>
    <row r="10" spans="1:6" ht="13.5" thickBot="1" x14ac:dyDescent="0.25">
      <c r="A10" s="22"/>
      <c r="B10" s="22"/>
      <c r="C10" s="6" t="s">
        <v>21</v>
      </c>
      <c r="D10" s="6" t="s">
        <v>22</v>
      </c>
      <c r="E10" s="22"/>
    </row>
    <row r="11" spans="1:6" x14ac:dyDescent="0.2">
      <c r="A11" s="22" t="s">
        <v>17</v>
      </c>
      <c r="B11" s="22"/>
      <c r="C11" s="24">
        <f ca="1">INTERCEPT(INDIRECT($D$9):G989,INDIRECT($C$9):F989)</f>
        <v>2.3988552020406062E-2</v>
      </c>
      <c r="D11" s="5"/>
      <c r="E11" s="22"/>
    </row>
    <row r="12" spans="1:6" x14ac:dyDescent="0.2">
      <c r="A12" s="22" t="s">
        <v>18</v>
      </c>
      <c r="B12" s="22"/>
      <c r="C12" s="24">
        <f ca="1">SLOPE(INDIRECT($D$9):G989,INDIRECT($C$9):F989)</f>
        <v>-3.0397967674491427E-5</v>
      </c>
      <c r="D12" s="5"/>
      <c r="E12" s="22"/>
    </row>
    <row r="13" spans="1:6" x14ac:dyDescent="0.2">
      <c r="A13" s="22" t="s">
        <v>20</v>
      </c>
      <c r="B13" s="22"/>
      <c r="C13" s="5" t="s">
        <v>15</v>
      </c>
    </row>
    <row r="14" spans="1:6" x14ac:dyDescent="0.2">
      <c r="A14" s="22"/>
      <c r="B14" s="22"/>
      <c r="C14" s="22"/>
    </row>
    <row r="15" spans="1:6" x14ac:dyDescent="0.2">
      <c r="A15" s="26" t="s">
        <v>19</v>
      </c>
      <c r="B15" s="22"/>
      <c r="C15" s="27">
        <f ca="1">(C7+C11)+(C8+C12)*INT(MAX(F21:F3530))</f>
        <v>57259.298929527635</v>
      </c>
      <c r="E15" s="28" t="s">
        <v>47</v>
      </c>
      <c r="F15" s="23">
        <v>1</v>
      </c>
    </row>
    <row r="16" spans="1:6" x14ac:dyDescent="0.2">
      <c r="A16" s="30" t="s">
        <v>5</v>
      </c>
      <c r="B16" s="22"/>
      <c r="C16" s="31">
        <f ca="1">+C8+C12</f>
        <v>2.3036846020323254</v>
      </c>
      <c r="E16" s="28" t="s">
        <v>39</v>
      </c>
      <c r="F16" s="29">
        <f ca="1">NOW()+15018.5+$C$5/24</f>
        <v>60328.733560069442</v>
      </c>
    </row>
    <row r="17" spans="1:21" ht="13.5" thickBot="1" x14ac:dyDescent="0.25">
      <c r="A17" s="28" t="s">
        <v>41</v>
      </c>
      <c r="B17" s="22"/>
      <c r="C17" s="22">
        <f>COUNT(C21:C2188)</f>
        <v>30</v>
      </c>
      <c r="E17" s="28" t="s">
        <v>48</v>
      </c>
      <c r="F17" s="29">
        <f ca="1">ROUND(2*(F16-$C$7)/$C$8,0)/2+F15</f>
        <v>13819</v>
      </c>
    </row>
    <row r="18" spans="1:21" ht="14.25" thickTop="1" thickBot="1" x14ac:dyDescent="0.25">
      <c r="A18" s="30" t="s">
        <v>6</v>
      </c>
      <c r="B18" s="22"/>
      <c r="C18" s="33">
        <f ca="1">+C15</f>
        <v>57259.298929527635</v>
      </c>
      <c r="D18" s="34">
        <f ca="1">+C16</f>
        <v>2.3036846020323254</v>
      </c>
      <c r="E18" s="28" t="s">
        <v>40</v>
      </c>
      <c r="F18" s="20">
        <f ca="1">ROUND(2*(F16-$C$15)/$C$16,0)/2+F15</f>
        <v>1333.5</v>
      </c>
    </row>
    <row r="19" spans="1:21" ht="13.5" thickTop="1" x14ac:dyDescent="0.2">
      <c r="E19" s="28" t="s">
        <v>42</v>
      </c>
      <c r="F19" s="32">
        <f ca="1">+$C$15+$C$16*F18-15018.5-$C$5/24</f>
        <v>45313.158179671074</v>
      </c>
    </row>
    <row r="20" spans="1:21" ht="13.5" thickBot="1" x14ac:dyDescent="0.25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59</v>
      </c>
      <c r="I20" s="9" t="s">
        <v>62</v>
      </c>
      <c r="J20" s="9" t="s">
        <v>56</v>
      </c>
      <c r="K20" s="9" t="s">
        <v>54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16</v>
      </c>
      <c r="U20" s="63" t="s">
        <v>165</v>
      </c>
    </row>
    <row r="21" spans="1:21" x14ac:dyDescent="0.2">
      <c r="A21" t="s">
        <v>13</v>
      </c>
      <c r="B21" s="5"/>
      <c r="C21" s="14">
        <f>+C4</f>
        <v>28495.469000000001</v>
      </c>
      <c r="D21" s="14" t="s">
        <v>15</v>
      </c>
      <c r="E21">
        <f t="shared" ref="E21:E49" si="0">+(C21-C$7)/C$8</f>
        <v>0</v>
      </c>
      <c r="F21">
        <f t="shared" ref="F21:F50" si="1">ROUND(2*E21,0)/2</f>
        <v>0</v>
      </c>
      <c r="G21">
        <f t="shared" ref="G21:G44" si="2">+C21-(C$7+F21*C$8)</f>
        <v>0</v>
      </c>
      <c r="H21">
        <f t="shared" ref="H21:H33" si="3">+G21</f>
        <v>0</v>
      </c>
      <c r="O21">
        <f t="shared" ref="O21:O49" ca="1" si="4">+C$11+C$12*F21</f>
        <v>2.3988552020406062E-2</v>
      </c>
      <c r="Q21" s="2">
        <f t="shared" ref="Q21:Q49" si="5">+C21-15018.5</f>
        <v>13476.969000000001</v>
      </c>
    </row>
    <row r="22" spans="1:21" x14ac:dyDescent="0.2">
      <c r="A22" s="57" t="s">
        <v>68</v>
      </c>
      <c r="B22" s="60" t="s">
        <v>30</v>
      </c>
      <c r="C22" s="68">
        <v>28495.449000000001</v>
      </c>
      <c r="D22" s="68" t="s">
        <v>62</v>
      </c>
      <c r="E22">
        <f t="shared" si="0"/>
        <v>-8.6816294552219172E-3</v>
      </c>
      <c r="F22">
        <f t="shared" si="1"/>
        <v>0</v>
      </c>
      <c r="G22">
        <f t="shared" si="2"/>
        <v>-2.0000000000436557E-2</v>
      </c>
      <c r="H22">
        <f t="shared" si="3"/>
        <v>-2.0000000000436557E-2</v>
      </c>
      <c r="O22">
        <f t="shared" ca="1" si="4"/>
        <v>2.3988552020406062E-2</v>
      </c>
      <c r="Q22" s="2">
        <f t="shared" si="5"/>
        <v>13476.949000000001</v>
      </c>
    </row>
    <row r="23" spans="1:21" x14ac:dyDescent="0.2">
      <c r="A23" s="57" t="s">
        <v>68</v>
      </c>
      <c r="B23" s="60" t="s">
        <v>30</v>
      </c>
      <c r="C23" s="69">
        <v>29110.543000000001</v>
      </c>
      <c r="D23" s="69" t="s">
        <v>62</v>
      </c>
      <c r="E23">
        <f t="shared" si="0"/>
        <v>266.9922277712306</v>
      </c>
      <c r="F23">
        <f t="shared" si="1"/>
        <v>267</v>
      </c>
      <c r="G23">
        <f t="shared" si="2"/>
        <v>-1.7905000000610016E-2</v>
      </c>
      <c r="H23">
        <f t="shared" si="3"/>
        <v>-1.7905000000610016E-2</v>
      </c>
      <c r="O23">
        <f t="shared" ca="1" si="4"/>
        <v>1.587229465131685E-2</v>
      </c>
      <c r="Q23" s="2">
        <f t="shared" si="5"/>
        <v>14092.043000000001</v>
      </c>
    </row>
    <row r="24" spans="1:21" x14ac:dyDescent="0.2">
      <c r="A24" s="58" t="s">
        <v>68</v>
      </c>
      <c r="B24" s="61" t="s">
        <v>30</v>
      </c>
      <c r="C24" s="69">
        <v>29140.519</v>
      </c>
      <c r="D24" s="69" t="s">
        <v>62</v>
      </c>
      <c r="E24">
        <f t="shared" si="0"/>
        <v>280.00425399843266</v>
      </c>
      <c r="F24">
        <f t="shared" si="1"/>
        <v>280</v>
      </c>
      <c r="G24">
        <f t="shared" si="2"/>
        <v>9.7999999998137355E-3</v>
      </c>
      <c r="H24">
        <f t="shared" si="3"/>
        <v>9.7999999998137355E-3</v>
      </c>
      <c r="O24">
        <f t="shared" ca="1" si="4"/>
        <v>1.5477121071548463E-2</v>
      </c>
      <c r="Q24" s="2">
        <f t="shared" si="5"/>
        <v>14122.019</v>
      </c>
    </row>
    <row r="25" spans="1:21" x14ac:dyDescent="0.2">
      <c r="A25" s="57" t="s">
        <v>68</v>
      </c>
      <c r="B25" s="61" t="s">
        <v>30</v>
      </c>
      <c r="C25" s="68">
        <v>29163.587</v>
      </c>
      <c r="D25" s="68" t="s">
        <v>62</v>
      </c>
      <c r="E25">
        <f t="shared" si="0"/>
        <v>290.01764541186674</v>
      </c>
      <c r="F25">
        <f t="shared" si="1"/>
        <v>290</v>
      </c>
      <c r="G25">
        <f t="shared" si="2"/>
        <v>4.0649999999004649E-2</v>
      </c>
      <c r="H25">
        <f t="shared" si="3"/>
        <v>4.0649999999004649E-2</v>
      </c>
      <c r="O25">
        <f t="shared" ca="1" si="4"/>
        <v>1.5173141394803549E-2</v>
      </c>
      <c r="Q25" s="2">
        <f t="shared" si="5"/>
        <v>14145.087</v>
      </c>
    </row>
    <row r="26" spans="1:21" x14ac:dyDescent="0.2">
      <c r="A26" s="57" t="s">
        <v>68</v>
      </c>
      <c r="B26" s="61" t="s">
        <v>30</v>
      </c>
      <c r="C26" s="68">
        <v>29170.41</v>
      </c>
      <c r="D26" s="68" t="s">
        <v>62</v>
      </c>
      <c r="E26">
        <f t="shared" si="0"/>
        <v>292.97938330045116</v>
      </c>
      <c r="F26">
        <f t="shared" si="1"/>
        <v>293</v>
      </c>
      <c r="G26">
        <f t="shared" si="2"/>
        <v>-4.7495000002527377E-2</v>
      </c>
      <c r="H26">
        <f t="shared" si="3"/>
        <v>-4.7495000002527377E-2</v>
      </c>
      <c r="O26">
        <f t="shared" ca="1" si="4"/>
        <v>1.5081947491780073E-2</v>
      </c>
      <c r="Q26" s="2">
        <f t="shared" si="5"/>
        <v>14151.91</v>
      </c>
    </row>
    <row r="27" spans="1:21" x14ac:dyDescent="0.2">
      <c r="A27" s="57" t="s">
        <v>68</v>
      </c>
      <c r="B27" s="61" t="s">
        <v>30</v>
      </c>
      <c r="C27" s="68">
        <v>29230.377</v>
      </c>
      <c r="D27" s="68" t="s">
        <v>62</v>
      </c>
      <c r="E27">
        <f t="shared" si="0"/>
        <v>319.00994697694784</v>
      </c>
      <c r="F27">
        <f t="shared" si="1"/>
        <v>319</v>
      </c>
      <c r="G27">
        <f t="shared" si="2"/>
        <v>2.291499999773805E-2</v>
      </c>
      <c r="H27">
        <f t="shared" si="3"/>
        <v>2.291499999773805E-2</v>
      </c>
      <c r="O27">
        <f t="shared" ca="1" si="4"/>
        <v>1.4291600332243297E-2</v>
      </c>
      <c r="Q27" s="2">
        <f t="shared" si="5"/>
        <v>14211.877</v>
      </c>
    </row>
    <row r="28" spans="1:21" x14ac:dyDescent="0.2">
      <c r="A28" s="59" t="s">
        <v>68</v>
      </c>
      <c r="B28" s="62" t="s">
        <v>30</v>
      </c>
      <c r="C28" s="70">
        <v>29253.435000000001</v>
      </c>
      <c r="D28" s="70" t="s">
        <v>62</v>
      </c>
      <c r="E28">
        <f t="shared" si="0"/>
        <v>329.01899757565513</v>
      </c>
      <c r="F28">
        <f t="shared" si="1"/>
        <v>329</v>
      </c>
      <c r="G28">
        <f t="shared" si="2"/>
        <v>4.3764999998529674E-2</v>
      </c>
      <c r="H28">
        <f t="shared" si="3"/>
        <v>4.3764999998529674E-2</v>
      </c>
      <c r="O28">
        <f t="shared" ca="1" si="4"/>
        <v>1.3987620655498382E-2</v>
      </c>
      <c r="Q28" s="2">
        <f t="shared" si="5"/>
        <v>14234.935000000001</v>
      </c>
    </row>
    <row r="29" spans="1:21" x14ac:dyDescent="0.2">
      <c r="A29" s="59" t="s">
        <v>68</v>
      </c>
      <c r="B29" s="62" t="s">
        <v>30</v>
      </c>
      <c r="C29" s="70">
        <v>29497.588</v>
      </c>
      <c r="D29" s="70" t="s">
        <v>62</v>
      </c>
      <c r="E29">
        <f t="shared" si="0"/>
        <v>435.00129139238089</v>
      </c>
      <c r="F29">
        <f t="shared" si="1"/>
        <v>435</v>
      </c>
      <c r="G29">
        <f t="shared" si="2"/>
        <v>2.9749999994237442E-3</v>
      </c>
      <c r="H29">
        <f t="shared" si="3"/>
        <v>2.9749999994237442E-3</v>
      </c>
      <c r="O29">
        <f t="shared" ca="1" si="4"/>
        <v>1.0765436082002292E-2</v>
      </c>
      <c r="Q29" s="2">
        <f t="shared" si="5"/>
        <v>14479.088</v>
      </c>
    </row>
    <row r="30" spans="1:21" x14ac:dyDescent="0.2">
      <c r="A30" s="59" t="s">
        <v>68</v>
      </c>
      <c r="B30" s="62" t="s">
        <v>30</v>
      </c>
      <c r="C30" s="70">
        <v>29670.375</v>
      </c>
      <c r="D30" s="70" t="s">
        <v>62</v>
      </c>
      <c r="E30">
        <f t="shared" si="0"/>
        <v>510.00492682471531</v>
      </c>
      <c r="F30">
        <f t="shared" si="1"/>
        <v>510</v>
      </c>
      <c r="G30">
        <f t="shared" si="2"/>
        <v>1.1350000000675209E-2</v>
      </c>
      <c r="H30">
        <f t="shared" si="3"/>
        <v>1.1350000000675209E-2</v>
      </c>
      <c r="O30">
        <f t="shared" ca="1" si="4"/>
        <v>8.4855885064154344E-3</v>
      </c>
      <c r="Q30" s="2">
        <f t="shared" si="5"/>
        <v>14651.875</v>
      </c>
    </row>
    <row r="31" spans="1:21" x14ac:dyDescent="0.2">
      <c r="A31" s="59" t="s">
        <v>68</v>
      </c>
      <c r="B31" s="62" t="s">
        <v>30</v>
      </c>
      <c r="C31" s="70">
        <v>29898.415000000001</v>
      </c>
      <c r="D31" s="70" t="s">
        <v>62</v>
      </c>
      <c r="E31">
        <f t="shared" si="0"/>
        <v>608.99286587099527</v>
      </c>
      <c r="F31">
        <f t="shared" si="1"/>
        <v>609</v>
      </c>
      <c r="G31">
        <f t="shared" si="2"/>
        <v>-1.6435000001365552E-2</v>
      </c>
      <c r="H31">
        <f t="shared" si="3"/>
        <v>-1.6435000001365552E-2</v>
      </c>
      <c r="O31">
        <f t="shared" ca="1" si="4"/>
        <v>5.4761897066407834E-3</v>
      </c>
      <c r="Q31" s="2">
        <f t="shared" si="5"/>
        <v>14879.915000000001</v>
      </c>
    </row>
    <row r="32" spans="1:21" x14ac:dyDescent="0.2">
      <c r="A32" s="59" t="s">
        <v>68</v>
      </c>
      <c r="B32" s="62" t="s">
        <v>30</v>
      </c>
      <c r="C32" s="70">
        <v>30734.686000000002</v>
      </c>
      <c r="D32" s="70" t="s">
        <v>62</v>
      </c>
      <c r="E32">
        <f t="shared" si="0"/>
        <v>972.00261317046625</v>
      </c>
      <c r="F32">
        <f t="shared" si="1"/>
        <v>972</v>
      </c>
      <c r="G32">
        <f t="shared" si="2"/>
        <v>6.0200000007171184E-3</v>
      </c>
      <c r="H32">
        <f t="shared" si="3"/>
        <v>6.0200000007171184E-3</v>
      </c>
      <c r="O32">
        <f t="shared" ca="1" si="4"/>
        <v>-5.5582725591996063E-3</v>
      </c>
      <c r="Q32" s="2">
        <f t="shared" si="5"/>
        <v>15716.186000000002</v>
      </c>
    </row>
    <row r="33" spans="1:21" x14ac:dyDescent="0.2">
      <c r="A33" s="59" t="s">
        <v>68</v>
      </c>
      <c r="B33" s="62" t="s">
        <v>30</v>
      </c>
      <c r="C33" s="70">
        <v>30976.55</v>
      </c>
      <c r="D33" s="70" t="s">
        <v>62</v>
      </c>
      <c r="E33">
        <f t="shared" si="0"/>
        <v>1076.9912944960633</v>
      </c>
      <c r="F33">
        <f t="shared" si="1"/>
        <v>1077</v>
      </c>
      <c r="G33">
        <f t="shared" si="2"/>
        <v>-2.005500000086613E-2</v>
      </c>
      <c r="H33">
        <f t="shared" si="3"/>
        <v>-2.005500000086613E-2</v>
      </c>
      <c r="O33">
        <f t="shared" ca="1" si="4"/>
        <v>-8.7500591650212026E-3</v>
      </c>
      <c r="Q33" s="2">
        <f t="shared" si="5"/>
        <v>15958.05</v>
      </c>
    </row>
    <row r="34" spans="1:21" x14ac:dyDescent="0.2">
      <c r="A34" t="s">
        <v>31</v>
      </c>
      <c r="B34" s="5"/>
      <c r="C34" s="14">
        <v>50113.2673</v>
      </c>
      <c r="D34" s="14">
        <v>4.0000000000000002E-4</v>
      </c>
      <c r="E34">
        <f t="shared" si="0"/>
        <v>9383.8857237114826</v>
      </c>
      <c r="F34">
        <f t="shared" si="1"/>
        <v>9384</v>
      </c>
      <c r="G34">
        <f t="shared" si="2"/>
        <v>-0.26325999999971827</v>
      </c>
      <c r="J34">
        <f>+G34</f>
        <v>-0.26325999999971827</v>
      </c>
      <c r="O34">
        <f t="shared" ca="1" si="4"/>
        <v>-0.2612659766370215</v>
      </c>
      <c r="Q34" s="2">
        <f t="shared" si="5"/>
        <v>35094.7673</v>
      </c>
    </row>
    <row r="35" spans="1:21" x14ac:dyDescent="0.2">
      <c r="A35" t="s">
        <v>31</v>
      </c>
      <c r="B35" s="5"/>
      <c r="C35" s="14">
        <v>50319.450199999999</v>
      </c>
      <c r="D35" s="14">
        <v>8.9999999999999998E-4</v>
      </c>
      <c r="E35">
        <f t="shared" si="0"/>
        <v>9473.3859005996837</v>
      </c>
      <c r="F35">
        <f t="shared" si="1"/>
        <v>9473.5</v>
      </c>
      <c r="G35">
        <f t="shared" si="2"/>
        <v>-0.26285249999637017</v>
      </c>
      <c r="J35">
        <f>+G35</f>
        <v>-0.26285249999637017</v>
      </c>
      <c r="O35">
        <f t="shared" ca="1" si="4"/>
        <v>-0.26398659474388847</v>
      </c>
      <c r="Q35" s="2">
        <f t="shared" si="5"/>
        <v>35300.950199999999</v>
      </c>
    </row>
    <row r="36" spans="1:21" x14ac:dyDescent="0.2">
      <c r="A36" t="s">
        <v>29</v>
      </c>
      <c r="B36" s="5" t="s">
        <v>30</v>
      </c>
      <c r="C36" s="16">
        <v>51354.952400000002</v>
      </c>
      <c r="D36" s="14"/>
      <c r="E36">
        <f t="shared" si="0"/>
        <v>9922.8782206132273</v>
      </c>
      <c r="F36">
        <f t="shared" si="1"/>
        <v>9923</v>
      </c>
      <c r="G36">
        <f t="shared" si="2"/>
        <v>-0.28054499999416294</v>
      </c>
      <c r="J36">
        <f>+G36</f>
        <v>-0.28054499999416294</v>
      </c>
      <c r="O36">
        <f t="shared" ca="1" si="4"/>
        <v>-0.27765048121357239</v>
      </c>
      <c r="Q36" s="2">
        <f t="shared" si="5"/>
        <v>36336.452400000002</v>
      </c>
    </row>
    <row r="37" spans="1:21" x14ac:dyDescent="0.2">
      <c r="A37" t="s">
        <v>31</v>
      </c>
      <c r="B37" s="5"/>
      <c r="C37" s="14">
        <v>51768.4715</v>
      </c>
      <c r="D37" s="14">
        <v>1.1000000000000001E-3</v>
      </c>
      <c r="E37">
        <f t="shared" si="0"/>
        <v>10102.379200552152</v>
      </c>
      <c r="F37">
        <f t="shared" si="1"/>
        <v>10102.5</v>
      </c>
      <c r="G37">
        <f t="shared" si="2"/>
        <v>-0.278287499997532</v>
      </c>
      <c r="J37">
        <f>+G37</f>
        <v>-0.278287499997532</v>
      </c>
      <c r="O37">
        <f t="shared" ca="1" si="4"/>
        <v>-0.28310691641114361</v>
      </c>
      <c r="Q37" s="2">
        <f t="shared" si="5"/>
        <v>36749.9715</v>
      </c>
    </row>
    <row r="38" spans="1:21" x14ac:dyDescent="0.2">
      <c r="A38" s="12" t="s">
        <v>34</v>
      </c>
      <c r="B38" s="13"/>
      <c r="C38" s="14">
        <v>53255.493900000001</v>
      </c>
      <c r="D38" s="14">
        <v>2.0000000000000001E-4</v>
      </c>
      <c r="E38">
        <f t="shared" si="0"/>
        <v>10747.868073958802</v>
      </c>
      <c r="F38">
        <f t="shared" si="1"/>
        <v>10748</v>
      </c>
      <c r="G38">
        <f t="shared" si="2"/>
        <v>-0.3039199999984703</v>
      </c>
      <c r="J38">
        <f>+G38</f>
        <v>-0.3039199999984703</v>
      </c>
      <c r="O38">
        <f t="shared" ca="1" si="4"/>
        <v>-0.30272880454502782</v>
      </c>
      <c r="Q38" s="2">
        <f t="shared" si="5"/>
        <v>38236.993900000001</v>
      </c>
    </row>
    <row r="39" spans="1:21" x14ac:dyDescent="0.2">
      <c r="A39" s="12" t="s">
        <v>35</v>
      </c>
      <c r="B39" s="13" t="s">
        <v>30</v>
      </c>
      <c r="C39" s="15">
        <v>53370.679100000001</v>
      </c>
      <c r="D39" s="15">
        <v>2.0000000000000001E-4</v>
      </c>
      <c r="E39">
        <f t="shared" si="0"/>
        <v>10797.867835213992</v>
      </c>
      <c r="F39">
        <f t="shared" si="1"/>
        <v>10798</v>
      </c>
      <c r="G39">
        <f t="shared" si="2"/>
        <v>-0.30446999999549007</v>
      </c>
      <c r="K39">
        <f>+G39</f>
        <v>-0.30446999999549007</v>
      </c>
      <c r="O39">
        <f t="shared" ca="1" si="4"/>
        <v>-0.30424870292875239</v>
      </c>
      <c r="Q39" s="2">
        <f t="shared" si="5"/>
        <v>38352.179100000001</v>
      </c>
    </row>
    <row r="40" spans="1:21" x14ac:dyDescent="0.2">
      <c r="A40" s="18" t="s">
        <v>35</v>
      </c>
      <c r="B40" s="71" t="s">
        <v>30</v>
      </c>
      <c r="C40" s="37">
        <v>53370.679100000001</v>
      </c>
      <c r="D40" s="37">
        <v>2.0000000000000001E-4</v>
      </c>
      <c r="E40">
        <f t="shared" si="0"/>
        <v>10797.867835213992</v>
      </c>
      <c r="F40">
        <f t="shared" si="1"/>
        <v>10798</v>
      </c>
      <c r="G40">
        <f t="shared" si="2"/>
        <v>-0.30446999999549007</v>
      </c>
      <c r="K40">
        <f>+G40</f>
        <v>-0.30446999999549007</v>
      </c>
      <c r="O40">
        <f t="shared" ca="1" si="4"/>
        <v>-0.30424870292875239</v>
      </c>
      <c r="Q40" s="2">
        <f t="shared" si="5"/>
        <v>38352.179100000001</v>
      </c>
    </row>
    <row r="41" spans="1:21" x14ac:dyDescent="0.2">
      <c r="A41" s="19" t="s">
        <v>45</v>
      </c>
      <c r="B41" s="13" t="s">
        <v>30</v>
      </c>
      <c r="C41" s="15">
        <v>54031.836000000127</v>
      </c>
      <c r="D41" s="15">
        <v>2.0000000000000001E-4</v>
      </c>
      <c r="E41">
        <f t="shared" si="0"/>
        <v>11084.863796085941</v>
      </c>
      <c r="F41">
        <f t="shared" si="1"/>
        <v>11085</v>
      </c>
      <c r="G41">
        <f t="shared" si="2"/>
        <v>-0.31377499987138435</v>
      </c>
      <c r="K41">
        <f>+G41</f>
        <v>-0.31377499987138435</v>
      </c>
      <c r="O41">
        <f t="shared" ca="1" si="4"/>
        <v>-0.31297291965133139</v>
      </c>
      <c r="Q41" s="2">
        <f t="shared" si="5"/>
        <v>39013.336000000127</v>
      </c>
    </row>
    <row r="42" spans="1:21" x14ac:dyDescent="0.2">
      <c r="A42" s="17" t="s">
        <v>43</v>
      </c>
      <c r="B42" s="13" t="s">
        <v>30</v>
      </c>
      <c r="C42" s="14">
        <v>54073.302100000001</v>
      </c>
      <c r="D42" s="14">
        <v>2.0000000000000001E-4</v>
      </c>
      <c r="E42">
        <f t="shared" si="0"/>
        <v>11102.863461843153</v>
      </c>
      <c r="F42">
        <f t="shared" si="1"/>
        <v>11103</v>
      </c>
      <c r="G42">
        <f t="shared" si="2"/>
        <v>-0.31454500000108965</v>
      </c>
      <c r="J42">
        <f>+G42</f>
        <v>-0.31454500000108965</v>
      </c>
      <c r="O42">
        <f t="shared" ca="1" si="4"/>
        <v>-0.31352008306947227</v>
      </c>
      <c r="Q42" s="2">
        <f t="shared" si="5"/>
        <v>39054.802100000001</v>
      </c>
    </row>
    <row r="43" spans="1:21" x14ac:dyDescent="0.2">
      <c r="A43" s="17" t="s">
        <v>43</v>
      </c>
      <c r="B43" s="13" t="s">
        <v>30</v>
      </c>
      <c r="C43" s="14">
        <v>54096.34</v>
      </c>
      <c r="D43" s="14">
        <v>6.7000000000000002E-3</v>
      </c>
      <c r="E43">
        <f t="shared" si="0"/>
        <v>11112.863787404256</v>
      </c>
      <c r="F43">
        <f t="shared" si="1"/>
        <v>11113</v>
      </c>
      <c r="G43">
        <f t="shared" si="2"/>
        <v>-0.3137950000091223</v>
      </c>
      <c r="J43">
        <f>+G43</f>
        <v>-0.3137950000091223</v>
      </c>
      <c r="O43">
        <f t="shared" ca="1" si="4"/>
        <v>-0.31382406274621716</v>
      </c>
      <c r="Q43" s="2">
        <f t="shared" si="5"/>
        <v>39077.839999999997</v>
      </c>
    </row>
    <row r="44" spans="1:21" x14ac:dyDescent="0.2">
      <c r="A44" s="59" t="s">
        <v>143</v>
      </c>
      <c r="B44" s="62" t="s">
        <v>30</v>
      </c>
      <c r="C44" s="70">
        <v>54211.523399999998</v>
      </c>
      <c r="D44" s="70" t="s">
        <v>62</v>
      </c>
      <c r="E44">
        <f t="shared" si="0"/>
        <v>11162.862767312796</v>
      </c>
      <c r="F44">
        <f t="shared" si="1"/>
        <v>11163</v>
      </c>
      <c r="G44">
        <f t="shared" si="2"/>
        <v>-0.31614499999705004</v>
      </c>
      <c r="K44">
        <f>+G44</f>
        <v>-0.31614499999705004</v>
      </c>
      <c r="O44">
        <f t="shared" ca="1" si="4"/>
        <v>-0.31534396112994173</v>
      </c>
      <c r="Q44" s="2">
        <f t="shared" si="5"/>
        <v>39193.023399999998</v>
      </c>
    </row>
    <row r="45" spans="1:21" x14ac:dyDescent="0.2">
      <c r="A45" s="18" t="s">
        <v>44</v>
      </c>
      <c r="B45" s="13"/>
      <c r="C45" s="14">
        <v>54212.523399999998</v>
      </c>
      <c r="D45" s="14">
        <v>2.5999999999999999E-3</v>
      </c>
      <c r="E45">
        <f t="shared" si="0"/>
        <v>11163.296848785547</v>
      </c>
      <c r="F45">
        <f t="shared" si="1"/>
        <v>11163.5</v>
      </c>
      <c r="O45">
        <f t="shared" ca="1" si="4"/>
        <v>-0.31535916011377896</v>
      </c>
      <c r="Q45" s="2">
        <f t="shared" si="5"/>
        <v>39194.023399999998</v>
      </c>
      <c r="U45" s="20">
        <v>-0.46800250000524102</v>
      </c>
    </row>
    <row r="46" spans="1:21" x14ac:dyDescent="0.2">
      <c r="A46" s="59" t="s">
        <v>148</v>
      </c>
      <c r="B46" s="62" t="s">
        <v>30</v>
      </c>
      <c r="C46" s="70">
        <v>55075.406199999998</v>
      </c>
      <c r="D46" s="70" t="s">
        <v>62</v>
      </c>
      <c r="E46">
        <f t="shared" si="0"/>
        <v>11537.858285421589</v>
      </c>
      <c r="F46">
        <f t="shared" si="1"/>
        <v>11538</v>
      </c>
      <c r="G46">
        <f>+C46-(C$7+F46*C$8)</f>
        <v>-0.32646999999997206</v>
      </c>
      <c r="K46">
        <f>+G46</f>
        <v>-0.32646999999997206</v>
      </c>
      <c r="O46">
        <f t="shared" ca="1" si="4"/>
        <v>-0.32674319900787602</v>
      </c>
      <c r="Q46" s="2">
        <f t="shared" si="5"/>
        <v>40056.906199999998</v>
      </c>
    </row>
    <row r="47" spans="1:21" x14ac:dyDescent="0.2">
      <c r="A47" s="17" t="s">
        <v>49</v>
      </c>
      <c r="B47" s="38" t="s">
        <v>50</v>
      </c>
      <c r="C47" s="39">
        <v>55532.686800000003</v>
      </c>
      <c r="D47" s="39">
        <v>1.1000000000000001E-3</v>
      </c>
      <c r="E47">
        <f t="shared" si="0"/>
        <v>11736.355321730336</v>
      </c>
      <c r="F47">
        <f t="shared" si="1"/>
        <v>11736.5</v>
      </c>
      <c r="G47">
        <f>+C47-(C$7+F47*C$8)</f>
        <v>-0.33329750000120839</v>
      </c>
      <c r="K47">
        <f>+G47</f>
        <v>-0.33329750000120839</v>
      </c>
      <c r="O47">
        <f t="shared" ca="1" si="4"/>
        <v>-0.33277719559126256</v>
      </c>
      <c r="Q47" s="2">
        <f t="shared" si="5"/>
        <v>40514.186800000003</v>
      </c>
    </row>
    <row r="48" spans="1:21" x14ac:dyDescent="0.2">
      <c r="A48" s="59" t="s">
        <v>159</v>
      </c>
      <c r="B48" s="62" t="s">
        <v>30</v>
      </c>
      <c r="C48" s="70">
        <v>55879.392500000002</v>
      </c>
      <c r="D48" s="70" t="s">
        <v>62</v>
      </c>
      <c r="E48">
        <f t="shared" si="0"/>
        <v>11886.853842597719</v>
      </c>
      <c r="F48">
        <f t="shared" si="1"/>
        <v>11887</v>
      </c>
      <c r="G48">
        <f>+C48-(C$7+F48*C$8)</f>
        <v>-0.33670499999425374</v>
      </c>
      <c r="K48">
        <f>+G48</f>
        <v>-0.33670499999425374</v>
      </c>
      <c r="O48">
        <f t="shared" ca="1" si="4"/>
        <v>-0.33735208972627351</v>
      </c>
      <c r="Q48" s="2">
        <f t="shared" si="5"/>
        <v>40860.892500000002</v>
      </c>
    </row>
    <row r="49" spans="1:17" x14ac:dyDescent="0.2">
      <c r="A49" s="40" t="s">
        <v>51</v>
      </c>
      <c r="B49" s="41" t="s">
        <v>30</v>
      </c>
      <c r="C49" s="42">
        <v>56540.550900000002</v>
      </c>
      <c r="D49" s="43">
        <v>4.0000000000000002E-4</v>
      </c>
      <c r="E49">
        <f t="shared" si="0"/>
        <v>12173.850454591822</v>
      </c>
      <c r="F49">
        <f t="shared" si="1"/>
        <v>12174</v>
      </c>
      <c r="G49">
        <f>+C49-(C$7+F49*C$8)</f>
        <v>-0.3445099999953527</v>
      </c>
      <c r="J49">
        <f>+G49</f>
        <v>-0.3445099999953527</v>
      </c>
      <c r="O49">
        <f t="shared" ca="1" si="4"/>
        <v>-0.34607630644885257</v>
      </c>
      <c r="Q49" s="2">
        <f t="shared" si="5"/>
        <v>41522.050900000002</v>
      </c>
    </row>
    <row r="50" spans="1:17" x14ac:dyDescent="0.2">
      <c r="A50" s="64" t="s">
        <v>0</v>
      </c>
      <c r="B50" s="65" t="s">
        <v>30</v>
      </c>
      <c r="C50" s="66">
        <v>57260.451699999998</v>
      </c>
      <c r="D50" s="67">
        <v>3.3E-3</v>
      </c>
      <c r="E50">
        <f>+(C50-C$7)/C$8</f>
        <v>12486.346054090891</v>
      </c>
      <c r="F50">
        <f t="shared" si="1"/>
        <v>12486.5</v>
      </c>
      <c r="G50">
        <f>+C50-(C$7+F50*C$8)</f>
        <v>-0.35464750000392087</v>
      </c>
      <c r="K50">
        <f>+G50</f>
        <v>-0.35464750000392087</v>
      </c>
      <c r="O50">
        <f ca="1">+C$11+C$12*F50</f>
        <v>-0.35557567134713114</v>
      </c>
      <c r="Q50" s="2">
        <f>+C50-15018.5</f>
        <v>42241.951699999998</v>
      </c>
    </row>
    <row r="51" spans="1:17" x14ac:dyDescent="0.2">
      <c r="B51" s="5"/>
      <c r="C51" s="14"/>
      <c r="D51" s="14"/>
    </row>
    <row r="52" spans="1:17" x14ac:dyDescent="0.2">
      <c r="B52" s="5"/>
      <c r="C52" s="14"/>
      <c r="D52" s="14"/>
    </row>
    <row r="53" spans="1:17" x14ac:dyDescent="0.2">
      <c r="B53" s="5"/>
      <c r="C53" s="14"/>
      <c r="D53" s="14"/>
    </row>
    <row r="54" spans="1:17" x14ac:dyDescent="0.2">
      <c r="B54" s="5"/>
      <c r="C54" s="14"/>
      <c r="D54" s="14"/>
    </row>
    <row r="55" spans="1:17" x14ac:dyDescent="0.2">
      <c r="B55" s="5"/>
      <c r="C55" s="14"/>
      <c r="D55" s="14"/>
    </row>
    <row r="56" spans="1:17" x14ac:dyDescent="0.2">
      <c r="B56" s="5"/>
      <c r="C56" s="14"/>
      <c r="D56" s="14"/>
    </row>
    <row r="57" spans="1:17" x14ac:dyDescent="0.2">
      <c r="B57" s="5"/>
      <c r="C57" s="14"/>
      <c r="D57" s="14"/>
    </row>
    <row r="58" spans="1:17" x14ac:dyDescent="0.2">
      <c r="B58" s="5"/>
      <c r="C58" s="14"/>
      <c r="D58" s="14"/>
    </row>
    <row r="59" spans="1:17" x14ac:dyDescent="0.2">
      <c r="B59" s="5"/>
      <c r="C59" s="14"/>
      <c r="D59" s="14"/>
    </row>
    <row r="60" spans="1:17" x14ac:dyDescent="0.2">
      <c r="B60" s="5"/>
      <c r="C60" s="14"/>
      <c r="D60" s="14"/>
    </row>
    <row r="61" spans="1:17" x14ac:dyDescent="0.2">
      <c r="B61" s="5"/>
      <c r="C61" s="14"/>
      <c r="D61" s="14"/>
    </row>
    <row r="62" spans="1:17" x14ac:dyDescent="0.2">
      <c r="B62" s="5"/>
      <c r="C62" s="14"/>
      <c r="D62" s="14"/>
    </row>
    <row r="63" spans="1:17" x14ac:dyDescent="0.2">
      <c r="B63" s="5"/>
      <c r="C63" s="14"/>
      <c r="D63" s="14"/>
    </row>
    <row r="64" spans="1:17" x14ac:dyDescent="0.2">
      <c r="B64" s="5"/>
      <c r="C64" s="14"/>
      <c r="D64" s="14"/>
    </row>
    <row r="65" spans="2:4" x14ac:dyDescent="0.2">
      <c r="B65" s="5"/>
      <c r="C65" s="14"/>
      <c r="D65" s="14"/>
    </row>
    <row r="66" spans="2:4" x14ac:dyDescent="0.2">
      <c r="B66" s="5"/>
      <c r="C66" s="14"/>
      <c r="D66" s="14"/>
    </row>
    <row r="67" spans="2:4" x14ac:dyDescent="0.2">
      <c r="B67" s="5"/>
      <c r="C67" s="14"/>
      <c r="D67" s="14"/>
    </row>
    <row r="68" spans="2:4" x14ac:dyDescent="0.2">
      <c r="B68" s="5"/>
      <c r="C68" s="14"/>
      <c r="D68" s="14"/>
    </row>
    <row r="69" spans="2:4" x14ac:dyDescent="0.2">
      <c r="B69" s="5"/>
      <c r="C69" s="14"/>
      <c r="D69" s="14"/>
    </row>
    <row r="70" spans="2:4" x14ac:dyDescent="0.2">
      <c r="B70" s="5"/>
      <c r="C70" s="14"/>
      <c r="D70" s="14"/>
    </row>
    <row r="71" spans="2:4" x14ac:dyDescent="0.2">
      <c r="B71" s="5"/>
      <c r="C71" s="14"/>
      <c r="D71" s="14"/>
    </row>
    <row r="72" spans="2:4" x14ac:dyDescent="0.2">
      <c r="B72" s="5"/>
      <c r="C72" s="14"/>
      <c r="D72" s="14"/>
    </row>
    <row r="73" spans="2:4" x14ac:dyDescent="0.2">
      <c r="B73" s="5"/>
      <c r="C73" s="14"/>
      <c r="D73" s="14"/>
    </row>
    <row r="74" spans="2:4" x14ac:dyDescent="0.2">
      <c r="B74" s="5"/>
      <c r="C74" s="14"/>
      <c r="D74" s="14"/>
    </row>
    <row r="75" spans="2:4" x14ac:dyDescent="0.2">
      <c r="B75" s="5"/>
      <c r="C75" s="14"/>
      <c r="D75" s="14"/>
    </row>
    <row r="76" spans="2:4" x14ac:dyDescent="0.2">
      <c r="B76" s="5"/>
      <c r="C76" s="14"/>
      <c r="D76" s="14"/>
    </row>
    <row r="77" spans="2:4" x14ac:dyDescent="0.2">
      <c r="B77" s="5"/>
      <c r="C77" s="14"/>
      <c r="D77" s="14"/>
    </row>
    <row r="78" spans="2:4" x14ac:dyDescent="0.2">
      <c r="B78" s="5"/>
      <c r="C78" s="14"/>
      <c r="D78" s="14"/>
    </row>
    <row r="79" spans="2:4" x14ac:dyDescent="0.2">
      <c r="B79" s="5"/>
      <c r="C79" s="14"/>
      <c r="D79" s="14"/>
    </row>
    <row r="80" spans="2:4" x14ac:dyDescent="0.2">
      <c r="B80" s="5"/>
      <c r="C80" s="14"/>
      <c r="D80" s="14"/>
    </row>
    <row r="81" spans="2:4" x14ac:dyDescent="0.2">
      <c r="B81" s="5"/>
      <c r="C81" s="14"/>
      <c r="D81" s="14"/>
    </row>
    <row r="82" spans="2:4" x14ac:dyDescent="0.2">
      <c r="B82" s="5"/>
      <c r="C82" s="14"/>
      <c r="D82" s="14"/>
    </row>
    <row r="83" spans="2:4" x14ac:dyDescent="0.2">
      <c r="B83" s="5"/>
      <c r="C83" s="14"/>
      <c r="D83" s="14"/>
    </row>
    <row r="84" spans="2:4" x14ac:dyDescent="0.2">
      <c r="B84" s="5"/>
      <c r="C84" s="14"/>
      <c r="D84" s="14"/>
    </row>
    <row r="85" spans="2:4" x14ac:dyDescent="0.2">
      <c r="B85" s="5"/>
      <c r="C85" s="14"/>
      <c r="D85" s="14"/>
    </row>
    <row r="86" spans="2:4" x14ac:dyDescent="0.2">
      <c r="B86" s="5"/>
      <c r="C86" s="14"/>
      <c r="D86" s="14"/>
    </row>
    <row r="87" spans="2:4" x14ac:dyDescent="0.2">
      <c r="B87" s="5"/>
      <c r="C87" s="14"/>
      <c r="D87" s="14"/>
    </row>
    <row r="88" spans="2:4" x14ac:dyDescent="0.2">
      <c r="B88" s="5"/>
      <c r="C88" s="14"/>
      <c r="D88" s="14"/>
    </row>
    <row r="89" spans="2:4" x14ac:dyDescent="0.2">
      <c r="B89" s="5"/>
      <c r="C89" s="14"/>
      <c r="D89" s="14"/>
    </row>
    <row r="90" spans="2:4" x14ac:dyDescent="0.2">
      <c r="B90" s="5"/>
      <c r="C90" s="14"/>
      <c r="D90" s="14"/>
    </row>
    <row r="91" spans="2:4" x14ac:dyDescent="0.2">
      <c r="B91" s="5"/>
      <c r="C91" s="14"/>
      <c r="D91" s="14"/>
    </row>
    <row r="92" spans="2:4" x14ac:dyDescent="0.2">
      <c r="B92" s="5"/>
      <c r="C92" s="14"/>
      <c r="D92" s="14"/>
    </row>
    <row r="93" spans="2:4" x14ac:dyDescent="0.2">
      <c r="B93" s="5"/>
      <c r="C93" s="14"/>
      <c r="D93" s="14"/>
    </row>
    <row r="94" spans="2:4" x14ac:dyDescent="0.2">
      <c r="B94" s="5"/>
      <c r="C94" s="14"/>
      <c r="D94" s="14"/>
    </row>
    <row r="95" spans="2:4" x14ac:dyDescent="0.2">
      <c r="B95" s="5"/>
      <c r="C95" s="14"/>
      <c r="D95" s="14"/>
    </row>
    <row r="96" spans="2:4" x14ac:dyDescent="0.2">
      <c r="B96" s="5"/>
      <c r="C96" s="14"/>
      <c r="D96" s="14"/>
    </row>
    <row r="97" spans="2:4" x14ac:dyDescent="0.2">
      <c r="B97" s="5"/>
      <c r="C97" s="14"/>
      <c r="D97" s="14"/>
    </row>
    <row r="98" spans="2:4" x14ac:dyDescent="0.2">
      <c r="B98" s="5"/>
      <c r="C98" s="14"/>
      <c r="D98" s="14"/>
    </row>
    <row r="99" spans="2:4" x14ac:dyDescent="0.2">
      <c r="B99" s="5"/>
      <c r="C99" s="14"/>
      <c r="D99" s="14"/>
    </row>
    <row r="100" spans="2:4" x14ac:dyDescent="0.2">
      <c r="B100" s="5"/>
      <c r="C100" s="14"/>
      <c r="D100" s="14"/>
    </row>
    <row r="101" spans="2:4" x14ac:dyDescent="0.2">
      <c r="B101" s="5"/>
      <c r="C101" s="14"/>
      <c r="D101" s="14"/>
    </row>
    <row r="102" spans="2:4" x14ac:dyDescent="0.2">
      <c r="B102" s="5"/>
      <c r="C102" s="14"/>
      <c r="D102" s="14"/>
    </row>
    <row r="103" spans="2:4" x14ac:dyDescent="0.2">
      <c r="B103" s="5"/>
      <c r="C103" s="14"/>
      <c r="D103" s="14"/>
    </row>
    <row r="104" spans="2:4" x14ac:dyDescent="0.2">
      <c r="B104" s="5"/>
      <c r="C104" s="14"/>
      <c r="D104" s="14"/>
    </row>
    <row r="105" spans="2:4" x14ac:dyDescent="0.2">
      <c r="B105" s="5"/>
      <c r="C105" s="14"/>
      <c r="D105" s="14"/>
    </row>
    <row r="106" spans="2:4" x14ac:dyDescent="0.2">
      <c r="B106" s="5"/>
      <c r="C106" s="14"/>
      <c r="D106" s="14"/>
    </row>
    <row r="107" spans="2:4" x14ac:dyDescent="0.2">
      <c r="B107" s="5"/>
      <c r="C107" s="14"/>
      <c r="D107" s="14"/>
    </row>
    <row r="108" spans="2:4" x14ac:dyDescent="0.2">
      <c r="B108" s="5"/>
      <c r="C108" s="14"/>
      <c r="D108" s="14"/>
    </row>
    <row r="109" spans="2:4" x14ac:dyDescent="0.2">
      <c r="B109" s="5"/>
      <c r="C109" s="14"/>
      <c r="D109" s="14"/>
    </row>
    <row r="110" spans="2:4" x14ac:dyDescent="0.2">
      <c r="B110" s="5"/>
      <c r="C110" s="14"/>
      <c r="D110" s="14"/>
    </row>
    <row r="111" spans="2:4" x14ac:dyDescent="0.2">
      <c r="B111" s="5"/>
      <c r="C111" s="14"/>
      <c r="D111" s="14"/>
    </row>
    <row r="112" spans="2:4" x14ac:dyDescent="0.2">
      <c r="B112" s="5"/>
      <c r="C112" s="14"/>
      <c r="D112" s="14"/>
    </row>
    <row r="113" spans="2:4" x14ac:dyDescent="0.2">
      <c r="B113" s="5"/>
      <c r="C113" s="14"/>
      <c r="D113" s="14"/>
    </row>
    <row r="114" spans="2:4" x14ac:dyDescent="0.2">
      <c r="B114" s="5"/>
      <c r="C114" s="14"/>
      <c r="D114" s="14"/>
    </row>
    <row r="115" spans="2:4" x14ac:dyDescent="0.2">
      <c r="B115" s="5"/>
      <c r="C115" s="14"/>
      <c r="D115" s="14"/>
    </row>
    <row r="116" spans="2:4" x14ac:dyDescent="0.2">
      <c r="B116" s="5"/>
      <c r="C116" s="14"/>
      <c r="D116" s="14"/>
    </row>
    <row r="117" spans="2:4" x14ac:dyDescent="0.2">
      <c r="B117" s="5"/>
      <c r="C117" s="14"/>
      <c r="D117" s="14"/>
    </row>
    <row r="118" spans="2:4" x14ac:dyDescent="0.2">
      <c r="B118" s="5"/>
      <c r="C118" s="14"/>
      <c r="D118" s="14"/>
    </row>
    <row r="119" spans="2:4" x14ac:dyDescent="0.2">
      <c r="B119" s="5"/>
      <c r="C119" s="14"/>
      <c r="D119" s="14"/>
    </row>
    <row r="120" spans="2:4" x14ac:dyDescent="0.2">
      <c r="B120" s="5"/>
      <c r="C120" s="14"/>
      <c r="D120" s="14"/>
    </row>
    <row r="121" spans="2:4" x14ac:dyDescent="0.2">
      <c r="B121" s="5"/>
      <c r="C121" s="14"/>
      <c r="D121" s="14"/>
    </row>
    <row r="122" spans="2:4" x14ac:dyDescent="0.2">
      <c r="B122" s="5"/>
      <c r="C122" s="14"/>
      <c r="D122" s="14"/>
    </row>
    <row r="123" spans="2:4" x14ac:dyDescent="0.2">
      <c r="B123" s="5"/>
      <c r="C123" s="14"/>
      <c r="D123" s="14"/>
    </row>
    <row r="124" spans="2:4" x14ac:dyDescent="0.2">
      <c r="B124" s="5"/>
      <c r="C124" s="14"/>
      <c r="D124" s="14"/>
    </row>
    <row r="125" spans="2:4" x14ac:dyDescent="0.2">
      <c r="B125" s="5"/>
      <c r="C125" s="14"/>
      <c r="D125" s="14"/>
    </row>
    <row r="126" spans="2:4" x14ac:dyDescent="0.2">
      <c r="B126" s="5"/>
      <c r="C126" s="14"/>
      <c r="D126" s="14"/>
    </row>
    <row r="127" spans="2:4" x14ac:dyDescent="0.2">
      <c r="B127" s="5"/>
      <c r="C127" s="14"/>
      <c r="D127" s="14"/>
    </row>
    <row r="128" spans="2:4" x14ac:dyDescent="0.2">
      <c r="B128" s="5"/>
      <c r="C128" s="14"/>
      <c r="D128" s="14"/>
    </row>
    <row r="129" spans="2:4" x14ac:dyDescent="0.2">
      <c r="B129" s="5"/>
      <c r="C129" s="14"/>
      <c r="D129" s="14"/>
    </row>
    <row r="130" spans="2:4" x14ac:dyDescent="0.2">
      <c r="B130" s="5"/>
      <c r="C130" s="14"/>
      <c r="D130" s="14"/>
    </row>
    <row r="131" spans="2:4" x14ac:dyDescent="0.2">
      <c r="B131" s="5"/>
      <c r="C131" s="14"/>
      <c r="D131" s="14"/>
    </row>
    <row r="132" spans="2:4" x14ac:dyDescent="0.2">
      <c r="B132" s="5"/>
      <c r="C132" s="14"/>
      <c r="D132" s="14"/>
    </row>
    <row r="133" spans="2:4" x14ac:dyDescent="0.2">
      <c r="C133" s="14"/>
      <c r="D133" s="14"/>
    </row>
  </sheetData>
  <phoneticPr fontId="8" type="noConversion"/>
  <hyperlinks>
    <hyperlink ref="H2421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2"/>
  <sheetViews>
    <sheetView workbookViewId="0">
      <selection activeCell="A20" sqref="A20:D35"/>
    </sheetView>
  </sheetViews>
  <sheetFormatPr defaultRowHeight="12.75" x14ac:dyDescent="0.2"/>
  <cols>
    <col min="1" max="1" width="19.7109375" style="14" customWidth="1"/>
    <col min="2" max="2" width="4.42578125" style="22" customWidth="1"/>
    <col min="3" max="3" width="12.7109375" style="14" customWidth="1"/>
    <col min="4" max="4" width="5.42578125" style="22" customWidth="1"/>
    <col min="5" max="5" width="14.85546875" style="22" customWidth="1"/>
    <col min="6" max="6" width="9.140625" style="22"/>
    <col min="7" max="7" width="12" style="22" customWidth="1"/>
    <col min="8" max="8" width="14.140625" style="14" customWidth="1"/>
    <col min="9" max="9" width="22.5703125" style="22" customWidth="1"/>
    <col min="10" max="10" width="25.140625" style="22" customWidth="1"/>
    <col min="11" max="11" width="15.7109375" style="22" customWidth="1"/>
    <col min="12" max="12" width="14.140625" style="22" customWidth="1"/>
    <col min="13" max="13" width="9.5703125" style="22" customWidth="1"/>
    <col min="14" max="14" width="14.140625" style="22" customWidth="1"/>
    <col min="15" max="15" width="23.42578125" style="22" customWidth="1"/>
    <col min="16" max="16" width="16.5703125" style="22" customWidth="1"/>
    <col min="17" max="17" width="41" style="22" customWidth="1"/>
    <col min="18" max="16384" width="9.140625" style="22"/>
  </cols>
  <sheetData>
    <row r="1" spans="1:16" ht="15.75" x14ac:dyDescent="0.25">
      <c r="A1" s="44" t="s">
        <v>52</v>
      </c>
      <c r="I1" s="45" t="s">
        <v>53</v>
      </c>
      <c r="J1" s="46" t="s">
        <v>54</v>
      </c>
    </row>
    <row r="2" spans="1:16" x14ac:dyDescent="0.2">
      <c r="I2" s="47" t="s">
        <v>55</v>
      </c>
      <c r="J2" s="48" t="s">
        <v>56</v>
      </c>
    </row>
    <row r="3" spans="1:16" x14ac:dyDescent="0.2">
      <c r="A3" s="49" t="s">
        <v>57</v>
      </c>
      <c r="I3" s="47" t="s">
        <v>58</v>
      </c>
      <c r="J3" s="48" t="s">
        <v>59</v>
      </c>
    </row>
    <row r="4" spans="1:16" x14ac:dyDescent="0.2">
      <c r="I4" s="47" t="s">
        <v>60</v>
      </c>
      <c r="J4" s="48" t="s">
        <v>59</v>
      </c>
    </row>
    <row r="5" spans="1:16" ht="13.5" thickBot="1" x14ac:dyDescent="0.25">
      <c r="I5" s="50" t="s">
        <v>61</v>
      </c>
      <c r="J5" s="51" t="s">
        <v>62</v>
      </c>
    </row>
    <row r="10" spans="1:16" ht="13.5" thickBot="1" x14ac:dyDescent="0.25"/>
    <row r="11" spans="1:16" ht="12.75" customHeight="1" thickBot="1" x14ac:dyDescent="0.25">
      <c r="A11" s="14" t="str">
        <f t="shared" ref="A11:A35" si="0">P11</f>
        <v>BAVM 172 </v>
      </c>
      <c r="B11" s="5" t="str">
        <f t="shared" ref="B11:B35" si="1">IF(H11=INT(H11),"I","II")</f>
        <v>I</v>
      </c>
      <c r="C11" s="14">
        <f t="shared" ref="C11:C35" si="2">1*G11</f>
        <v>50113.2673</v>
      </c>
      <c r="D11" s="22" t="str">
        <f t="shared" ref="D11:D35" si="3">VLOOKUP(F11,I$1:J$5,2,FALSE)</f>
        <v>vis</v>
      </c>
      <c r="E11" s="52">
        <f>VLOOKUP(C11,Active!C$21:E$972,3,FALSE)</f>
        <v>9383.8857237114826</v>
      </c>
      <c r="F11" s="5" t="s">
        <v>61</v>
      </c>
      <c r="G11" s="22" t="str">
        <f t="shared" ref="G11:G35" si="4">MID(I11,3,LEN(I11)-3)</f>
        <v>50113.2673</v>
      </c>
      <c r="H11" s="14">
        <f t="shared" ref="H11:H35" si="5">1*K11</f>
        <v>9384</v>
      </c>
      <c r="I11" s="53" t="s">
        <v>101</v>
      </c>
      <c r="J11" s="54" t="s">
        <v>102</v>
      </c>
      <c r="K11" s="53">
        <v>9384</v>
      </c>
      <c r="L11" s="53" t="s">
        <v>103</v>
      </c>
      <c r="M11" s="54" t="s">
        <v>104</v>
      </c>
      <c r="N11" s="54" t="s">
        <v>105</v>
      </c>
      <c r="O11" s="55" t="s">
        <v>106</v>
      </c>
      <c r="P11" s="56" t="s">
        <v>107</v>
      </c>
    </row>
    <row r="12" spans="1:16" ht="12.75" customHeight="1" thickBot="1" x14ac:dyDescent="0.25">
      <c r="A12" s="14" t="str">
        <f t="shared" si="0"/>
        <v>BAVM 172 </v>
      </c>
      <c r="B12" s="5" t="str">
        <f t="shared" si="1"/>
        <v>II</v>
      </c>
      <c r="C12" s="14">
        <f t="shared" si="2"/>
        <v>50319.450199999999</v>
      </c>
      <c r="D12" s="22" t="str">
        <f t="shared" si="3"/>
        <v>vis</v>
      </c>
      <c r="E12" s="52">
        <f>VLOOKUP(C12,Active!C$21:E$972,3,FALSE)</f>
        <v>9473.3859005996837</v>
      </c>
      <c r="F12" s="5" t="s">
        <v>61</v>
      </c>
      <c r="G12" s="22" t="str">
        <f t="shared" si="4"/>
        <v>50319.4502</v>
      </c>
      <c r="H12" s="14">
        <f t="shared" si="5"/>
        <v>9473.5</v>
      </c>
      <c r="I12" s="53" t="s">
        <v>108</v>
      </c>
      <c r="J12" s="54" t="s">
        <v>109</v>
      </c>
      <c r="K12" s="53">
        <v>9473.5</v>
      </c>
      <c r="L12" s="53" t="s">
        <v>110</v>
      </c>
      <c r="M12" s="54" t="s">
        <v>104</v>
      </c>
      <c r="N12" s="54" t="s">
        <v>105</v>
      </c>
      <c r="O12" s="55" t="s">
        <v>106</v>
      </c>
      <c r="P12" s="56" t="s">
        <v>107</v>
      </c>
    </row>
    <row r="13" spans="1:16" ht="12.75" customHeight="1" thickBot="1" x14ac:dyDescent="0.25">
      <c r="A13" s="14" t="str">
        <f t="shared" si="0"/>
        <v>BAVM 172 </v>
      </c>
      <c r="B13" s="5" t="str">
        <f t="shared" si="1"/>
        <v>II</v>
      </c>
      <c r="C13" s="14">
        <f t="shared" si="2"/>
        <v>51768.4715</v>
      </c>
      <c r="D13" s="22" t="str">
        <f t="shared" si="3"/>
        <v>vis</v>
      </c>
      <c r="E13" s="52">
        <f>VLOOKUP(C13,Active!C$21:E$972,3,FALSE)</f>
        <v>10102.379200552152</v>
      </c>
      <c r="F13" s="5" t="s">
        <v>61</v>
      </c>
      <c r="G13" s="22" t="str">
        <f t="shared" si="4"/>
        <v>51768.4715</v>
      </c>
      <c r="H13" s="14">
        <f t="shared" si="5"/>
        <v>10102.5</v>
      </c>
      <c r="I13" s="53" t="s">
        <v>111</v>
      </c>
      <c r="J13" s="54" t="s">
        <v>112</v>
      </c>
      <c r="K13" s="53">
        <v>10102.5</v>
      </c>
      <c r="L13" s="53" t="s">
        <v>113</v>
      </c>
      <c r="M13" s="54" t="s">
        <v>104</v>
      </c>
      <c r="N13" s="54" t="s">
        <v>105</v>
      </c>
      <c r="O13" s="55" t="s">
        <v>106</v>
      </c>
      <c r="P13" s="56" t="s">
        <v>107</v>
      </c>
    </row>
    <row r="14" spans="1:16" ht="12.75" customHeight="1" thickBot="1" x14ac:dyDescent="0.25">
      <c r="A14" s="14" t="str">
        <f t="shared" si="0"/>
        <v>BAVM 173 </v>
      </c>
      <c r="B14" s="5" t="str">
        <f t="shared" si="1"/>
        <v>I</v>
      </c>
      <c r="C14" s="14">
        <f t="shared" si="2"/>
        <v>53255.493900000001</v>
      </c>
      <c r="D14" s="22" t="str">
        <f t="shared" si="3"/>
        <v>vis</v>
      </c>
      <c r="E14" s="52">
        <f>VLOOKUP(C14,Active!C$21:E$972,3,FALSE)</f>
        <v>10747.868073958802</v>
      </c>
      <c r="F14" s="5" t="s">
        <v>61</v>
      </c>
      <c r="G14" s="22" t="str">
        <f t="shared" si="4"/>
        <v>53255.4939</v>
      </c>
      <c r="H14" s="14">
        <f t="shared" si="5"/>
        <v>10748</v>
      </c>
      <c r="I14" s="53" t="s">
        <v>114</v>
      </c>
      <c r="J14" s="54" t="s">
        <v>115</v>
      </c>
      <c r="K14" s="53">
        <v>10748</v>
      </c>
      <c r="L14" s="53" t="s">
        <v>116</v>
      </c>
      <c r="M14" s="54" t="s">
        <v>104</v>
      </c>
      <c r="N14" s="54" t="s">
        <v>105</v>
      </c>
      <c r="O14" s="55" t="s">
        <v>117</v>
      </c>
      <c r="P14" s="56" t="s">
        <v>118</v>
      </c>
    </row>
    <row r="15" spans="1:16" ht="12.75" customHeight="1" thickBot="1" x14ac:dyDescent="0.25">
      <c r="A15" s="14" t="str">
        <f t="shared" si="0"/>
        <v>IBVS 5690 </v>
      </c>
      <c r="B15" s="5" t="str">
        <f t="shared" si="1"/>
        <v>I</v>
      </c>
      <c r="C15" s="14">
        <f t="shared" si="2"/>
        <v>53370.679100000001</v>
      </c>
      <c r="D15" s="22" t="str">
        <f t="shared" si="3"/>
        <v>vis</v>
      </c>
      <c r="E15" s="52">
        <f>VLOOKUP(C15,Active!C$21:E$972,3,FALSE)</f>
        <v>10797.867835213992</v>
      </c>
      <c r="F15" s="5" t="s">
        <v>61</v>
      </c>
      <c r="G15" s="22" t="str">
        <f t="shared" si="4"/>
        <v>53370.6791</v>
      </c>
      <c r="H15" s="14">
        <f t="shared" si="5"/>
        <v>10798</v>
      </c>
      <c r="I15" s="53" t="s">
        <v>119</v>
      </c>
      <c r="J15" s="54" t="s">
        <v>120</v>
      </c>
      <c r="K15" s="53">
        <v>10798</v>
      </c>
      <c r="L15" s="53" t="s">
        <v>121</v>
      </c>
      <c r="M15" s="54" t="s">
        <v>104</v>
      </c>
      <c r="N15" s="54" t="s">
        <v>122</v>
      </c>
      <c r="O15" s="55" t="s">
        <v>123</v>
      </c>
      <c r="P15" s="56" t="s">
        <v>124</v>
      </c>
    </row>
    <row r="16" spans="1:16" ht="12.75" customHeight="1" thickBot="1" x14ac:dyDescent="0.25">
      <c r="A16" s="14" t="str">
        <f t="shared" si="0"/>
        <v>BAVM 183 </v>
      </c>
      <c r="B16" s="5" t="str">
        <f t="shared" si="1"/>
        <v>I</v>
      </c>
      <c r="C16" s="14">
        <f t="shared" si="2"/>
        <v>54073.302100000001</v>
      </c>
      <c r="D16" s="22" t="str">
        <f t="shared" si="3"/>
        <v>vis</v>
      </c>
      <c r="E16" s="52">
        <f>VLOOKUP(C16,Active!C$21:E$972,3,FALSE)</f>
        <v>11102.863461843153</v>
      </c>
      <c r="F16" s="5" t="s">
        <v>61</v>
      </c>
      <c r="G16" s="22" t="str">
        <f t="shared" si="4"/>
        <v>54073.3021</v>
      </c>
      <c r="H16" s="14">
        <f t="shared" si="5"/>
        <v>11103</v>
      </c>
      <c r="I16" s="53" t="s">
        <v>130</v>
      </c>
      <c r="J16" s="54" t="s">
        <v>131</v>
      </c>
      <c r="K16" s="53">
        <v>11103</v>
      </c>
      <c r="L16" s="53" t="s">
        <v>132</v>
      </c>
      <c r="M16" s="54" t="s">
        <v>128</v>
      </c>
      <c r="N16" s="54" t="s">
        <v>133</v>
      </c>
      <c r="O16" s="55" t="s">
        <v>106</v>
      </c>
      <c r="P16" s="56" t="s">
        <v>134</v>
      </c>
    </row>
    <row r="17" spans="1:16" ht="12.75" customHeight="1" thickBot="1" x14ac:dyDescent="0.25">
      <c r="A17" s="14" t="str">
        <f t="shared" si="0"/>
        <v>BAVM 183 </v>
      </c>
      <c r="B17" s="5" t="str">
        <f t="shared" si="1"/>
        <v>I</v>
      </c>
      <c r="C17" s="14">
        <f t="shared" si="2"/>
        <v>54096.34</v>
      </c>
      <c r="D17" s="22" t="str">
        <f t="shared" si="3"/>
        <v>vis</v>
      </c>
      <c r="E17" s="52">
        <f>VLOOKUP(C17,Active!C$21:E$972,3,FALSE)</f>
        <v>11112.863787404256</v>
      </c>
      <c r="F17" s="5" t="s">
        <v>61</v>
      </c>
      <c r="G17" s="22" t="str">
        <f t="shared" si="4"/>
        <v>54096.3400</v>
      </c>
      <c r="H17" s="14">
        <f t="shared" si="5"/>
        <v>11113</v>
      </c>
      <c r="I17" s="53" t="s">
        <v>135</v>
      </c>
      <c r="J17" s="54" t="s">
        <v>136</v>
      </c>
      <c r="K17" s="53" t="s">
        <v>137</v>
      </c>
      <c r="L17" s="53" t="s">
        <v>127</v>
      </c>
      <c r="M17" s="54" t="s">
        <v>128</v>
      </c>
      <c r="N17" s="54" t="s">
        <v>133</v>
      </c>
      <c r="O17" s="55" t="s">
        <v>106</v>
      </c>
      <c r="P17" s="56" t="s">
        <v>134</v>
      </c>
    </row>
    <row r="18" spans="1:16" ht="12.75" customHeight="1" thickBot="1" x14ac:dyDescent="0.25">
      <c r="A18" s="14" t="str">
        <f t="shared" si="0"/>
        <v>IBVS 5960 </v>
      </c>
      <c r="B18" s="5" t="str">
        <f t="shared" si="1"/>
        <v>II</v>
      </c>
      <c r="C18" s="14">
        <f t="shared" si="2"/>
        <v>55532.686800000003</v>
      </c>
      <c r="D18" s="22" t="str">
        <f t="shared" si="3"/>
        <v>vis</v>
      </c>
      <c r="E18" s="52">
        <f>VLOOKUP(C18,Active!C$21:E$972,3,FALSE)</f>
        <v>11736.355321730336</v>
      </c>
      <c r="F18" s="5" t="s">
        <v>61</v>
      </c>
      <c r="G18" s="22" t="str">
        <f t="shared" si="4"/>
        <v>55532.6868</v>
      </c>
      <c r="H18" s="14">
        <f t="shared" si="5"/>
        <v>11736.5</v>
      </c>
      <c r="I18" s="53" t="s">
        <v>149</v>
      </c>
      <c r="J18" s="54" t="s">
        <v>150</v>
      </c>
      <c r="K18" s="53" t="s">
        <v>151</v>
      </c>
      <c r="L18" s="53" t="s">
        <v>152</v>
      </c>
      <c r="M18" s="54" t="s">
        <v>128</v>
      </c>
      <c r="N18" s="54" t="s">
        <v>61</v>
      </c>
      <c r="O18" s="55" t="s">
        <v>153</v>
      </c>
      <c r="P18" s="56" t="s">
        <v>154</v>
      </c>
    </row>
    <row r="19" spans="1:16" ht="12.75" customHeight="1" thickBot="1" x14ac:dyDescent="0.25">
      <c r="A19" s="14" t="str">
        <f t="shared" si="0"/>
        <v>BAVM 234 </v>
      </c>
      <c r="B19" s="5" t="str">
        <f t="shared" si="1"/>
        <v>I</v>
      </c>
      <c r="C19" s="14">
        <f t="shared" si="2"/>
        <v>56540.550900000002</v>
      </c>
      <c r="D19" s="22" t="str">
        <f t="shared" si="3"/>
        <v>vis</v>
      </c>
      <c r="E19" s="52">
        <f>VLOOKUP(C19,Active!C$21:E$972,3,FALSE)</f>
        <v>12173.850454591822</v>
      </c>
      <c r="F19" s="5" t="s">
        <v>61</v>
      </c>
      <c r="G19" s="22" t="str">
        <f t="shared" si="4"/>
        <v>56540.5509</v>
      </c>
      <c r="H19" s="14">
        <f t="shared" si="5"/>
        <v>12174</v>
      </c>
      <c r="I19" s="53" t="s">
        <v>160</v>
      </c>
      <c r="J19" s="54" t="s">
        <v>161</v>
      </c>
      <c r="K19" s="53" t="s">
        <v>162</v>
      </c>
      <c r="L19" s="53" t="s">
        <v>163</v>
      </c>
      <c r="M19" s="54" t="s">
        <v>128</v>
      </c>
      <c r="N19" s="54" t="s">
        <v>133</v>
      </c>
      <c r="O19" s="55" t="s">
        <v>106</v>
      </c>
      <c r="P19" s="56" t="s">
        <v>164</v>
      </c>
    </row>
    <row r="20" spans="1:16" ht="12.75" customHeight="1" thickBot="1" x14ac:dyDescent="0.25">
      <c r="A20" s="14" t="str">
        <f t="shared" si="0"/>
        <v> VSS 1.72 </v>
      </c>
      <c r="B20" s="5" t="str">
        <f t="shared" si="1"/>
        <v>I</v>
      </c>
      <c r="C20" s="14">
        <f t="shared" si="2"/>
        <v>28495.449000000001</v>
      </c>
      <c r="D20" s="22" t="str">
        <f t="shared" si="3"/>
        <v>vis</v>
      </c>
      <c r="E20" s="52">
        <f>VLOOKUP(C20,Active!C$21:E$972,3,FALSE)</f>
        <v>-8.6816294552219172E-3</v>
      </c>
      <c r="F20" s="5" t="s">
        <v>61</v>
      </c>
      <c r="G20" s="22" t="str">
        <f t="shared" si="4"/>
        <v>28495.449</v>
      </c>
      <c r="H20" s="14">
        <f t="shared" si="5"/>
        <v>0</v>
      </c>
      <c r="I20" s="53" t="s">
        <v>63</v>
      </c>
      <c r="J20" s="54" t="s">
        <v>64</v>
      </c>
      <c r="K20" s="53">
        <v>0</v>
      </c>
      <c r="L20" s="53" t="s">
        <v>65</v>
      </c>
      <c r="M20" s="54" t="s">
        <v>66</v>
      </c>
      <c r="N20" s="54"/>
      <c r="O20" s="55" t="s">
        <v>67</v>
      </c>
      <c r="P20" s="55" t="s">
        <v>68</v>
      </c>
    </row>
    <row r="21" spans="1:16" ht="12.75" customHeight="1" thickBot="1" x14ac:dyDescent="0.25">
      <c r="A21" s="14" t="str">
        <f t="shared" si="0"/>
        <v> VSS 1.72 </v>
      </c>
      <c r="B21" s="5" t="str">
        <f t="shared" si="1"/>
        <v>I</v>
      </c>
      <c r="C21" s="14">
        <f t="shared" si="2"/>
        <v>29110.543000000001</v>
      </c>
      <c r="D21" s="22" t="str">
        <f t="shared" si="3"/>
        <v>vis</v>
      </c>
      <c r="E21" s="52">
        <f>VLOOKUP(C21,Active!C$21:E$972,3,FALSE)</f>
        <v>266.9922277712306</v>
      </c>
      <c r="F21" s="5" t="s">
        <v>61</v>
      </c>
      <c r="G21" s="22" t="str">
        <f t="shared" si="4"/>
        <v>29110.543</v>
      </c>
      <c r="H21" s="14">
        <f t="shared" si="5"/>
        <v>267</v>
      </c>
      <c r="I21" s="53" t="s">
        <v>69</v>
      </c>
      <c r="J21" s="54" t="s">
        <v>70</v>
      </c>
      <c r="K21" s="53">
        <v>267</v>
      </c>
      <c r="L21" s="53" t="s">
        <v>71</v>
      </c>
      <c r="M21" s="54" t="s">
        <v>66</v>
      </c>
      <c r="N21" s="54"/>
      <c r="O21" s="55" t="s">
        <v>67</v>
      </c>
      <c r="P21" s="55" t="s">
        <v>68</v>
      </c>
    </row>
    <row r="22" spans="1:16" ht="12.75" customHeight="1" thickBot="1" x14ac:dyDescent="0.25">
      <c r="A22" s="14" t="str">
        <f t="shared" si="0"/>
        <v> VSS 1.72 </v>
      </c>
      <c r="B22" s="5" t="str">
        <f t="shared" si="1"/>
        <v>I</v>
      </c>
      <c r="C22" s="14">
        <f t="shared" si="2"/>
        <v>29140.519</v>
      </c>
      <c r="D22" s="22" t="str">
        <f t="shared" si="3"/>
        <v>vis</v>
      </c>
      <c r="E22" s="52">
        <f>VLOOKUP(C22,Active!C$21:E$972,3,FALSE)</f>
        <v>280.00425399843266</v>
      </c>
      <c r="F22" s="5" t="s">
        <v>61</v>
      </c>
      <c r="G22" s="22" t="str">
        <f t="shared" si="4"/>
        <v>29140.519</v>
      </c>
      <c r="H22" s="14">
        <f t="shared" si="5"/>
        <v>280</v>
      </c>
      <c r="I22" s="53" t="s">
        <v>72</v>
      </c>
      <c r="J22" s="54" t="s">
        <v>73</v>
      </c>
      <c r="K22" s="53">
        <v>280</v>
      </c>
      <c r="L22" s="53" t="s">
        <v>74</v>
      </c>
      <c r="M22" s="54" t="s">
        <v>66</v>
      </c>
      <c r="N22" s="54"/>
      <c r="O22" s="55" t="s">
        <v>67</v>
      </c>
      <c r="P22" s="55" t="s">
        <v>68</v>
      </c>
    </row>
    <row r="23" spans="1:16" ht="12.75" customHeight="1" thickBot="1" x14ac:dyDescent="0.25">
      <c r="A23" s="14" t="str">
        <f t="shared" si="0"/>
        <v> VSS 1.72 </v>
      </c>
      <c r="B23" s="5" t="str">
        <f t="shared" si="1"/>
        <v>I</v>
      </c>
      <c r="C23" s="14">
        <f t="shared" si="2"/>
        <v>29163.587</v>
      </c>
      <c r="D23" s="22" t="str">
        <f t="shared" si="3"/>
        <v>vis</v>
      </c>
      <c r="E23" s="52">
        <f>VLOOKUP(C23,Active!C$21:E$972,3,FALSE)</f>
        <v>290.01764541186674</v>
      </c>
      <c r="F23" s="5" t="s">
        <v>61</v>
      </c>
      <c r="G23" s="22" t="str">
        <f t="shared" si="4"/>
        <v>29163.587</v>
      </c>
      <c r="H23" s="14">
        <f t="shared" si="5"/>
        <v>290</v>
      </c>
      <c r="I23" s="53" t="s">
        <v>75</v>
      </c>
      <c r="J23" s="54" t="s">
        <v>76</v>
      </c>
      <c r="K23" s="53">
        <v>290</v>
      </c>
      <c r="L23" s="53" t="s">
        <v>77</v>
      </c>
      <c r="M23" s="54" t="s">
        <v>66</v>
      </c>
      <c r="N23" s="54"/>
      <c r="O23" s="55" t="s">
        <v>67</v>
      </c>
      <c r="P23" s="55" t="s">
        <v>68</v>
      </c>
    </row>
    <row r="24" spans="1:16" ht="12.75" customHeight="1" thickBot="1" x14ac:dyDescent="0.25">
      <c r="A24" s="14" t="str">
        <f t="shared" si="0"/>
        <v> VSS 1.72 </v>
      </c>
      <c r="B24" s="5" t="str">
        <f t="shared" si="1"/>
        <v>I</v>
      </c>
      <c r="C24" s="14">
        <f t="shared" si="2"/>
        <v>29170.41</v>
      </c>
      <c r="D24" s="22" t="str">
        <f t="shared" si="3"/>
        <v>vis</v>
      </c>
      <c r="E24" s="52">
        <f>VLOOKUP(C24,Active!C$21:E$972,3,FALSE)</f>
        <v>292.97938330045116</v>
      </c>
      <c r="F24" s="5" t="s">
        <v>61</v>
      </c>
      <c r="G24" s="22" t="str">
        <f t="shared" si="4"/>
        <v>29170.410</v>
      </c>
      <c r="H24" s="14">
        <f t="shared" si="5"/>
        <v>293</v>
      </c>
      <c r="I24" s="53" t="s">
        <v>78</v>
      </c>
      <c r="J24" s="54" t="s">
        <v>79</v>
      </c>
      <c r="K24" s="53">
        <v>293</v>
      </c>
      <c r="L24" s="53" t="s">
        <v>80</v>
      </c>
      <c r="M24" s="54" t="s">
        <v>66</v>
      </c>
      <c r="N24" s="54"/>
      <c r="O24" s="55" t="s">
        <v>67</v>
      </c>
      <c r="P24" s="55" t="s">
        <v>68</v>
      </c>
    </row>
    <row r="25" spans="1:16" ht="12.75" customHeight="1" thickBot="1" x14ac:dyDescent="0.25">
      <c r="A25" s="14" t="str">
        <f t="shared" si="0"/>
        <v> VSS 1.72 </v>
      </c>
      <c r="B25" s="5" t="str">
        <f t="shared" si="1"/>
        <v>I</v>
      </c>
      <c r="C25" s="14">
        <f t="shared" si="2"/>
        <v>29230.377</v>
      </c>
      <c r="D25" s="22" t="str">
        <f t="shared" si="3"/>
        <v>vis</v>
      </c>
      <c r="E25" s="52">
        <f>VLOOKUP(C25,Active!C$21:E$972,3,FALSE)</f>
        <v>319.00994697694784</v>
      </c>
      <c r="F25" s="5" t="s">
        <v>61</v>
      </c>
      <c r="G25" s="22" t="str">
        <f t="shared" si="4"/>
        <v>29230.377</v>
      </c>
      <c r="H25" s="14">
        <f t="shared" si="5"/>
        <v>319</v>
      </c>
      <c r="I25" s="53" t="s">
        <v>81</v>
      </c>
      <c r="J25" s="54" t="s">
        <v>82</v>
      </c>
      <c r="K25" s="53">
        <v>319</v>
      </c>
      <c r="L25" s="53" t="s">
        <v>83</v>
      </c>
      <c r="M25" s="54" t="s">
        <v>66</v>
      </c>
      <c r="N25" s="54"/>
      <c r="O25" s="55" t="s">
        <v>67</v>
      </c>
      <c r="P25" s="55" t="s">
        <v>68</v>
      </c>
    </row>
    <row r="26" spans="1:16" ht="12.75" customHeight="1" thickBot="1" x14ac:dyDescent="0.25">
      <c r="A26" s="14" t="str">
        <f t="shared" si="0"/>
        <v> VSS 1.72 </v>
      </c>
      <c r="B26" s="5" t="str">
        <f t="shared" si="1"/>
        <v>I</v>
      </c>
      <c r="C26" s="14">
        <f t="shared" si="2"/>
        <v>29253.435000000001</v>
      </c>
      <c r="D26" s="22" t="str">
        <f t="shared" si="3"/>
        <v>vis</v>
      </c>
      <c r="E26" s="52">
        <f>VLOOKUP(C26,Active!C$21:E$972,3,FALSE)</f>
        <v>329.01899757565513</v>
      </c>
      <c r="F26" s="5" t="s">
        <v>61</v>
      </c>
      <c r="G26" s="22" t="str">
        <f t="shared" si="4"/>
        <v>29253.435</v>
      </c>
      <c r="H26" s="14">
        <f t="shared" si="5"/>
        <v>329</v>
      </c>
      <c r="I26" s="53" t="s">
        <v>84</v>
      </c>
      <c r="J26" s="54" t="s">
        <v>85</v>
      </c>
      <c r="K26" s="53">
        <v>329</v>
      </c>
      <c r="L26" s="53" t="s">
        <v>86</v>
      </c>
      <c r="M26" s="54" t="s">
        <v>66</v>
      </c>
      <c r="N26" s="54"/>
      <c r="O26" s="55" t="s">
        <v>67</v>
      </c>
      <c r="P26" s="55" t="s">
        <v>68</v>
      </c>
    </row>
    <row r="27" spans="1:16" ht="12.75" customHeight="1" thickBot="1" x14ac:dyDescent="0.25">
      <c r="A27" s="14" t="str">
        <f t="shared" si="0"/>
        <v> VSS 1.72 </v>
      </c>
      <c r="B27" s="5" t="str">
        <f t="shared" si="1"/>
        <v>I</v>
      </c>
      <c r="C27" s="14">
        <f t="shared" si="2"/>
        <v>29497.588</v>
      </c>
      <c r="D27" s="22" t="str">
        <f t="shared" si="3"/>
        <v>vis</v>
      </c>
      <c r="E27" s="52">
        <f>VLOOKUP(C27,Active!C$21:E$972,3,FALSE)</f>
        <v>435.00129139238089</v>
      </c>
      <c r="F27" s="5" t="s">
        <v>61</v>
      </c>
      <c r="G27" s="22" t="str">
        <f t="shared" si="4"/>
        <v>29497.588</v>
      </c>
      <c r="H27" s="14">
        <f t="shared" si="5"/>
        <v>435</v>
      </c>
      <c r="I27" s="53" t="s">
        <v>87</v>
      </c>
      <c r="J27" s="54" t="s">
        <v>88</v>
      </c>
      <c r="K27" s="53">
        <v>435</v>
      </c>
      <c r="L27" s="53" t="s">
        <v>89</v>
      </c>
      <c r="M27" s="54" t="s">
        <v>66</v>
      </c>
      <c r="N27" s="54"/>
      <c r="O27" s="55" t="s">
        <v>67</v>
      </c>
      <c r="P27" s="55" t="s">
        <v>68</v>
      </c>
    </row>
    <row r="28" spans="1:16" ht="12.75" customHeight="1" thickBot="1" x14ac:dyDescent="0.25">
      <c r="A28" s="14" t="str">
        <f t="shared" si="0"/>
        <v> VSS 1.72 </v>
      </c>
      <c r="B28" s="5" t="str">
        <f t="shared" si="1"/>
        <v>I</v>
      </c>
      <c r="C28" s="14">
        <f t="shared" si="2"/>
        <v>29670.375</v>
      </c>
      <c r="D28" s="22" t="str">
        <f t="shared" si="3"/>
        <v>vis</v>
      </c>
      <c r="E28" s="52">
        <f>VLOOKUP(C28,Active!C$21:E$972,3,FALSE)</f>
        <v>510.00492682471531</v>
      </c>
      <c r="F28" s="5" t="s">
        <v>61</v>
      </c>
      <c r="G28" s="22" t="str">
        <f t="shared" si="4"/>
        <v>29670.375</v>
      </c>
      <c r="H28" s="14">
        <f t="shared" si="5"/>
        <v>510</v>
      </c>
      <c r="I28" s="53" t="s">
        <v>90</v>
      </c>
      <c r="J28" s="54" t="s">
        <v>91</v>
      </c>
      <c r="K28" s="53">
        <v>510</v>
      </c>
      <c r="L28" s="53" t="s">
        <v>92</v>
      </c>
      <c r="M28" s="54" t="s">
        <v>66</v>
      </c>
      <c r="N28" s="54"/>
      <c r="O28" s="55" t="s">
        <v>67</v>
      </c>
      <c r="P28" s="55" t="s">
        <v>68</v>
      </c>
    </row>
    <row r="29" spans="1:16" ht="12.75" customHeight="1" thickBot="1" x14ac:dyDescent="0.25">
      <c r="A29" s="14" t="str">
        <f t="shared" si="0"/>
        <v> VSS 1.72 </v>
      </c>
      <c r="B29" s="5" t="str">
        <f t="shared" si="1"/>
        <v>I</v>
      </c>
      <c r="C29" s="14">
        <f t="shared" si="2"/>
        <v>29898.415000000001</v>
      </c>
      <c r="D29" s="22" t="str">
        <f t="shared" si="3"/>
        <v>vis</v>
      </c>
      <c r="E29" s="52">
        <f>VLOOKUP(C29,Active!C$21:E$972,3,FALSE)</f>
        <v>608.99286587099527</v>
      </c>
      <c r="F29" s="5" t="s">
        <v>61</v>
      </c>
      <c r="G29" s="22" t="str">
        <f t="shared" si="4"/>
        <v>29898.415</v>
      </c>
      <c r="H29" s="14">
        <f t="shared" si="5"/>
        <v>609</v>
      </c>
      <c r="I29" s="53" t="s">
        <v>93</v>
      </c>
      <c r="J29" s="54" t="s">
        <v>94</v>
      </c>
      <c r="K29" s="53">
        <v>609</v>
      </c>
      <c r="L29" s="53" t="s">
        <v>95</v>
      </c>
      <c r="M29" s="54" t="s">
        <v>66</v>
      </c>
      <c r="N29" s="54"/>
      <c r="O29" s="55" t="s">
        <v>67</v>
      </c>
      <c r="P29" s="55" t="s">
        <v>68</v>
      </c>
    </row>
    <row r="30" spans="1:16" ht="12.75" customHeight="1" thickBot="1" x14ac:dyDescent="0.25">
      <c r="A30" s="14" t="str">
        <f t="shared" si="0"/>
        <v> VSS 1.72 </v>
      </c>
      <c r="B30" s="5" t="str">
        <f t="shared" si="1"/>
        <v>I</v>
      </c>
      <c r="C30" s="14">
        <f t="shared" si="2"/>
        <v>30734.686000000002</v>
      </c>
      <c r="D30" s="22" t="str">
        <f t="shared" si="3"/>
        <v>vis</v>
      </c>
      <c r="E30" s="52">
        <f>VLOOKUP(C30,Active!C$21:E$972,3,FALSE)</f>
        <v>972.00261317046625</v>
      </c>
      <c r="F30" s="5" t="s">
        <v>61</v>
      </c>
      <c r="G30" s="22" t="str">
        <f t="shared" si="4"/>
        <v>30734.686</v>
      </c>
      <c r="H30" s="14">
        <f t="shared" si="5"/>
        <v>972</v>
      </c>
      <c r="I30" s="53" t="s">
        <v>96</v>
      </c>
      <c r="J30" s="54" t="s">
        <v>97</v>
      </c>
      <c r="K30" s="53">
        <v>972</v>
      </c>
      <c r="L30" s="53" t="s">
        <v>98</v>
      </c>
      <c r="M30" s="54" t="s">
        <v>66</v>
      </c>
      <c r="N30" s="54"/>
      <c r="O30" s="55" t="s">
        <v>67</v>
      </c>
      <c r="P30" s="55" t="s">
        <v>68</v>
      </c>
    </row>
    <row r="31" spans="1:16" ht="12.75" customHeight="1" thickBot="1" x14ac:dyDescent="0.25">
      <c r="A31" s="14" t="str">
        <f t="shared" si="0"/>
        <v> VSS 1.72 </v>
      </c>
      <c r="B31" s="5" t="str">
        <f t="shared" si="1"/>
        <v>I</v>
      </c>
      <c r="C31" s="14">
        <f t="shared" si="2"/>
        <v>30976.55</v>
      </c>
      <c r="D31" s="22" t="str">
        <f t="shared" si="3"/>
        <v>vis</v>
      </c>
      <c r="E31" s="52">
        <f>VLOOKUP(C31,Active!C$21:E$972,3,FALSE)</f>
        <v>1076.9912944960633</v>
      </c>
      <c r="F31" s="5" t="s">
        <v>61</v>
      </c>
      <c r="G31" s="22" t="str">
        <f t="shared" si="4"/>
        <v>30976.550</v>
      </c>
      <c r="H31" s="14">
        <f t="shared" si="5"/>
        <v>1077</v>
      </c>
      <c r="I31" s="53" t="s">
        <v>99</v>
      </c>
      <c r="J31" s="54" t="s">
        <v>100</v>
      </c>
      <c r="K31" s="53">
        <v>1077</v>
      </c>
      <c r="L31" s="53" t="s">
        <v>65</v>
      </c>
      <c r="M31" s="54" t="s">
        <v>66</v>
      </c>
      <c r="N31" s="54"/>
      <c r="O31" s="55" t="s">
        <v>67</v>
      </c>
      <c r="P31" s="55" t="s">
        <v>68</v>
      </c>
    </row>
    <row r="32" spans="1:16" ht="12.75" customHeight="1" thickBot="1" x14ac:dyDescent="0.25">
      <c r="A32" s="14" t="str">
        <f t="shared" si="0"/>
        <v>IBVS 5806 </v>
      </c>
      <c r="B32" s="5" t="str">
        <f t="shared" si="1"/>
        <v>I</v>
      </c>
      <c r="C32" s="14">
        <f t="shared" si="2"/>
        <v>54031.836000000003</v>
      </c>
      <c r="D32" s="22" t="str">
        <f t="shared" si="3"/>
        <v>vis</v>
      </c>
      <c r="E32" s="52" t="e">
        <f>VLOOKUP(C32,Active!C$21:E$972,3,FALSE)</f>
        <v>#N/A</v>
      </c>
      <c r="F32" s="5" t="s">
        <v>61</v>
      </c>
      <c r="G32" s="22" t="str">
        <f t="shared" si="4"/>
        <v>54031.8360</v>
      </c>
      <c r="H32" s="14">
        <f t="shared" si="5"/>
        <v>11085</v>
      </c>
      <c r="I32" s="53" t="s">
        <v>125</v>
      </c>
      <c r="J32" s="54" t="s">
        <v>126</v>
      </c>
      <c r="K32" s="53">
        <v>11085</v>
      </c>
      <c r="L32" s="53" t="s">
        <v>127</v>
      </c>
      <c r="M32" s="54" t="s">
        <v>128</v>
      </c>
      <c r="N32" s="54" t="s">
        <v>105</v>
      </c>
      <c r="O32" s="55" t="s">
        <v>123</v>
      </c>
      <c r="P32" s="56" t="s">
        <v>129</v>
      </c>
    </row>
    <row r="33" spans="1:16" ht="12.75" customHeight="1" thickBot="1" x14ac:dyDescent="0.25">
      <c r="A33" s="14" t="str">
        <f t="shared" si="0"/>
        <v>BAVM 186 </v>
      </c>
      <c r="B33" s="5" t="str">
        <f t="shared" si="1"/>
        <v>I</v>
      </c>
      <c r="C33" s="14">
        <f t="shared" si="2"/>
        <v>54211.523399999998</v>
      </c>
      <c r="D33" s="22" t="str">
        <f t="shared" si="3"/>
        <v>vis</v>
      </c>
      <c r="E33" s="52">
        <f>VLOOKUP(C33,Active!C$21:E$972,3,FALSE)</f>
        <v>11162.862767312796</v>
      </c>
      <c r="F33" s="5" t="s">
        <v>61</v>
      </c>
      <c r="G33" s="22" t="str">
        <f t="shared" si="4"/>
        <v>54211.5234</v>
      </c>
      <c r="H33" s="14">
        <f t="shared" si="5"/>
        <v>11163</v>
      </c>
      <c r="I33" s="53" t="s">
        <v>138</v>
      </c>
      <c r="J33" s="54" t="s">
        <v>139</v>
      </c>
      <c r="K33" s="53" t="s">
        <v>140</v>
      </c>
      <c r="L33" s="53" t="s">
        <v>141</v>
      </c>
      <c r="M33" s="54" t="s">
        <v>128</v>
      </c>
      <c r="N33" s="54" t="s">
        <v>105</v>
      </c>
      <c r="O33" s="55" t="s">
        <v>142</v>
      </c>
      <c r="P33" s="56" t="s">
        <v>143</v>
      </c>
    </row>
    <row r="34" spans="1:16" ht="12.75" customHeight="1" thickBot="1" x14ac:dyDescent="0.25">
      <c r="A34" s="14" t="str">
        <f t="shared" si="0"/>
        <v>BAVM 212 </v>
      </c>
      <c r="B34" s="5" t="str">
        <f t="shared" si="1"/>
        <v>I</v>
      </c>
      <c r="C34" s="14">
        <f t="shared" si="2"/>
        <v>55075.406199999998</v>
      </c>
      <c r="D34" s="22" t="str">
        <f t="shared" si="3"/>
        <v>vis</v>
      </c>
      <c r="E34" s="52">
        <f>VLOOKUP(C34,Active!C$21:E$972,3,FALSE)</f>
        <v>11537.858285421589</v>
      </c>
      <c r="F34" s="5" t="s">
        <v>61</v>
      </c>
      <c r="G34" s="22" t="str">
        <f t="shared" si="4"/>
        <v>55075.4062</v>
      </c>
      <c r="H34" s="14">
        <f t="shared" si="5"/>
        <v>11538</v>
      </c>
      <c r="I34" s="53" t="s">
        <v>144</v>
      </c>
      <c r="J34" s="54" t="s">
        <v>145</v>
      </c>
      <c r="K34" s="53" t="s">
        <v>146</v>
      </c>
      <c r="L34" s="53" t="s">
        <v>147</v>
      </c>
      <c r="M34" s="54" t="s">
        <v>128</v>
      </c>
      <c r="N34" s="54" t="s">
        <v>105</v>
      </c>
      <c r="O34" s="55" t="s">
        <v>117</v>
      </c>
      <c r="P34" s="56" t="s">
        <v>148</v>
      </c>
    </row>
    <row r="35" spans="1:16" ht="12.75" customHeight="1" thickBot="1" x14ac:dyDescent="0.25">
      <c r="A35" s="14" t="str">
        <f t="shared" si="0"/>
        <v>BAVM 225 </v>
      </c>
      <c r="B35" s="5" t="str">
        <f t="shared" si="1"/>
        <v>I</v>
      </c>
      <c r="C35" s="14">
        <f t="shared" si="2"/>
        <v>55879.392500000002</v>
      </c>
      <c r="D35" s="22" t="str">
        <f t="shared" si="3"/>
        <v>vis</v>
      </c>
      <c r="E35" s="52">
        <f>VLOOKUP(C35,Active!C$21:E$972,3,FALSE)</f>
        <v>11886.853842597719</v>
      </c>
      <c r="F35" s="5" t="s">
        <v>61</v>
      </c>
      <c r="G35" s="22" t="str">
        <f t="shared" si="4"/>
        <v>55879.3925</v>
      </c>
      <c r="H35" s="14">
        <f t="shared" si="5"/>
        <v>11887</v>
      </c>
      <c r="I35" s="53" t="s">
        <v>155</v>
      </c>
      <c r="J35" s="54" t="s">
        <v>156</v>
      </c>
      <c r="K35" s="53" t="s">
        <v>157</v>
      </c>
      <c r="L35" s="53" t="s">
        <v>158</v>
      </c>
      <c r="M35" s="54" t="s">
        <v>128</v>
      </c>
      <c r="N35" s="54" t="s">
        <v>133</v>
      </c>
      <c r="O35" s="55" t="s">
        <v>106</v>
      </c>
      <c r="P35" s="56" t="s">
        <v>159</v>
      </c>
    </row>
    <row r="36" spans="1:16" x14ac:dyDescent="0.2">
      <c r="B36" s="5"/>
      <c r="F36" s="5"/>
    </row>
    <row r="37" spans="1:16" x14ac:dyDescent="0.2">
      <c r="B37" s="5"/>
      <c r="F37" s="5"/>
    </row>
    <row r="38" spans="1:16" x14ac:dyDescent="0.2">
      <c r="B38" s="5"/>
      <c r="F38" s="5"/>
    </row>
    <row r="39" spans="1:16" x14ac:dyDescent="0.2">
      <c r="B39" s="5"/>
      <c r="F39" s="5"/>
    </row>
    <row r="40" spans="1:16" x14ac:dyDescent="0.2">
      <c r="B40" s="5"/>
      <c r="F40" s="5"/>
    </row>
    <row r="41" spans="1:16" x14ac:dyDescent="0.2">
      <c r="B41" s="5"/>
      <c r="F41" s="5"/>
    </row>
    <row r="42" spans="1:16" x14ac:dyDescent="0.2">
      <c r="B42" s="5"/>
      <c r="F42" s="5"/>
    </row>
    <row r="43" spans="1:16" x14ac:dyDescent="0.2">
      <c r="B43" s="5"/>
      <c r="F43" s="5"/>
    </row>
    <row r="44" spans="1:16" x14ac:dyDescent="0.2">
      <c r="B44" s="5"/>
      <c r="F44" s="5"/>
    </row>
    <row r="45" spans="1:16" x14ac:dyDescent="0.2">
      <c r="B45" s="5"/>
      <c r="F45" s="5"/>
    </row>
    <row r="46" spans="1:16" x14ac:dyDescent="0.2">
      <c r="B46" s="5"/>
      <c r="F46" s="5"/>
    </row>
    <row r="47" spans="1:16" x14ac:dyDescent="0.2">
      <c r="B47" s="5"/>
      <c r="F47" s="5"/>
    </row>
    <row r="48" spans="1:1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</sheetData>
  <phoneticPr fontId="8" type="noConversion"/>
  <hyperlinks>
    <hyperlink ref="A3" r:id="rId1"/>
    <hyperlink ref="P11" r:id="rId2" display="http://www.bav-astro.de/sfs/BAVM_link.php?BAVMnr=172"/>
    <hyperlink ref="P12" r:id="rId3" display="http://www.bav-astro.de/sfs/BAVM_link.php?BAVMnr=172"/>
    <hyperlink ref="P13" r:id="rId4" display="http://www.bav-astro.de/sfs/BAVM_link.php?BAVMnr=172"/>
    <hyperlink ref="P14" r:id="rId5" display="http://www.bav-astro.de/sfs/BAVM_link.php?BAVMnr=173"/>
    <hyperlink ref="P15" r:id="rId6" display="http://www.konkoly.hu/cgi-bin/IBVS?5690"/>
    <hyperlink ref="P32" r:id="rId7" display="http://www.konkoly.hu/cgi-bin/IBVS?5806"/>
    <hyperlink ref="P16" r:id="rId8" display="http://www.bav-astro.de/sfs/BAVM_link.php?BAVMnr=183"/>
    <hyperlink ref="P17" r:id="rId9" display="http://www.bav-astro.de/sfs/BAVM_link.php?BAVMnr=183"/>
    <hyperlink ref="P33" r:id="rId10" display="http://www.bav-astro.de/sfs/BAVM_link.php?BAVMnr=186"/>
    <hyperlink ref="P34" r:id="rId11" display="http://www.bav-astro.de/sfs/BAVM_link.php?BAVMnr=212"/>
    <hyperlink ref="P18" r:id="rId12" display="http://www.konkoly.hu/cgi-bin/IBVS?5960"/>
    <hyperlink ref="P35" r:id="rId13" display="http://www.bav-astro.de/sfs/BAVM_link.php?BAVMnr=225"/>
    <hyperlink ref="P19" r:id="rId14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2024-01-19T04:36:19Z</dcterms:modified>
</cp:coreProperties>
</file>