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F312245-170B-4510-81E5-B0679AAE31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2" i="1" l="1"/>
  <c r="Q83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9" i="1"/>
  <c r="Q51" i="1"/>
  <c r="Q56" i="1"/>
  <c r="Q57" i="1"/>
  <c r="Q68" i="1"/>
  <c r="Q73" i="1"/>
  <c r="Q74" i="1"/>
  <c r="Q80" i="1"/>
  <c r="G36" i="2"/>
  <c r="C36" i="2"/>
  <c r="G66" i="2"/>
  <c r="C66" i="2"/>
  <c r="G35" i="2"/>
  <c r="C35" i="2"/>
  <c r="G34" i="2"/>
  <c r="C34" i="2"/>
  <c r="G33" i="2"/>
  <c r="C33" i="2"/>
  <c r="G32" i="2"/>
  <c r="C32" i="2"/>
  <c r="G31" i="2"/>
  <c r="C31" i="2"/>
  <c r="G65" i="2"/>
  <c r="C65" i="2"/>
  <c r="G64" i="2"/>
  <c r="C64" i="2"/>
  <c r="G30" i="2"/>
  <c r="C30" i="2"/>
  <c r="G29" i="2"/>
  <c r="C29" i="2"/>
  <c r="G28" i="2"/>
  <c r="C28" i="2"/>
  <c r="G27" i="2"/>
  <c r="C27" i="2"/>
  <c r="G63" i="2"/>
  <c r="C63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62" i="2"/>
  <c r="C62" i="2"/>
  <c r="G61" i="2"/>
  <c r="C61" i="2"/>
  <c r="G17" i="2"/>
  <c r="C17" i="2"/>
  <c r="G16" i="2"/>
  <c r="C16" i="2"/>
  <c r="G15" i="2"/>
  <c r="C15" i="2"/>
  <c r="G14" i="2"/>
  <c r="C14" i="2"/>
  <c r="G60" i="2"/>
  <c r="C60" i="2"/>
  <c r="G13" i="2"/>
  <c r="C13" i="2"/>
  <c r="G59" i="2"/>
  <c r="C59" i="2"/>
  <c r="G12" i="2"/>
  <c r="C12" i="2"/>
  <c r="G11" i="2"/>
  <c r="C11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B36" i="2"/>
  <c r="D36" i="2"/>
  <c r="A36" i="2"/>
  <c r="H66" i="2"/>
  <c r="B66" i="2"/>
  <c r="D66" i="2"/>
  <c r="A6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65" i="2"/>
  <c r="B65" i="2"/>
  <c r="D65" i="2"/>
  <c r="A65" i="2"/>
  <c r="H64" i="2"/>
  <c r="B64" i="2"/>
  <c r="D64" i="2"/>
  <c r="A64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63" i="2"/>
  <c r="B63" i="2"/>
  <c r="D63" i="2"/>
  <c r="A63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62" i="2"/>
  <c r="B62" i="2"/>
  <c r="D62" i="2"/>
  <c r="A62" i="2"/>
  <c r="H61" i="2"/>
  <c r="B61" i="2"/>
  <c r="D61" i="2"/>
  <c r="A61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60" i="2"/>
  <c r="B60" i="2"/>
  <c r="D60" i="2"/>
  <c r="A60" i="2"/>
  <c r="H13" i="2"/>
  <c r="B13" i="2"/>
  <c r="D13" i="2"/>
  <c r="A13" i="2"/>
  <c r="H59" i="2"/>
  <c r="B59" i="2"/>
  <c r="D59" i="2"/>
  <c r="A59" i="2"/>
  <c r="H12" i="2"/>
  <c r="B12" i="2"/>
  <c r="D12" i="2"/>
  <c r="A12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Q79" i="1"/>
  <c r="Q77" i="1"/>
  <c r="Q76" i="1"/>
  <c r="Q59" i="1"/>
  <c r="Q81" i="1"/>
  <c r="C7" i="1"/>
  <c r="E21" i="1" s="1"/>
  <c r="Q70" i="1"/>
  <c r="Q71" i="1"/>
  <c r="Q72" i="1"/>
  <c r="F16" i="1"/>
  <c r="Q78" i="1"/>
  <c r="Q75" i="1"/>
  <c r="Q69" i="1"/>
  <c r="Q58" i="1"/>
  <c r="C17" i="1"/>
  <c r="Q45" i="1"/>
  <c r="Q48" i="1"/>
  <c r="Q67" i="1"/>
  <c r="Q63" i="1"/>
  <c r="Q64" i="1"/>
  <c r="Q65" i="1"/>
  <c r="Q66" i="1"/>
  <c r="Q60" i="1"/>
  <c r="Q61" i="1"/>
  <c r="Q62" i="1"/>
  <c r="Q44" i="1"/>
  <c r="Q47" i="1"/>
  <c r="Q50" i="1"/>
  <c r="Q52" i="1"/>
  <c r="Q53" i="1"/>
  <c r="Q54" i="1"/>
  <c r="Q55" i="1"/>
  <c r="Q46" i="1"/>
  <c r="Q33" i="1"/>
  <c r="E63" i="1"/>
  <c r="F63" i="1" s="1"/>
  <c r="E24" i="1"/>
  <c r="F24" i="1" s="1"/>
  <c r="E61" i="1"/>
  <c r="F61" i="1" s="1"/>
  <c r="E81" i="1"/>
  <c r="F81" i="1" s="1"/>
  <c r="E39" i="1"/>
  <c r="F39" i="1" s="1"/>
  <c r="E37" i="2" l="1"/>
  <c r="F21" i="1"/>
  <c r="E38" i="1"/>
  <c r="E43" i="1"/>
  <c r="E40" i="2"/>
  <c r="E23" i="2"/>
  <c r="E69" i="1"/>
  <c r="E68" i="1"/>
  <c r="E23" i="1"/>
  <c r="E28" i="1"/>
  <c r="E44" i="1"/>
  <c r="E82" i="1"/>
  <c r="F82" i="1" s="1"/>
  <c r="G82" i="1" s="1"/>
  <c r="K82" i="1" s="1"/>
  <c r="E58" i="1"/>
  <c r="E64" i="1"/>
  <c r="E59" i="1"/>
  <c r="E36" i="1"/>
  <c r="E73" i="1"/>
  <c r="E32" i="1"/>
  <c r="E54" i="1"/>
  <c r="E50" i="1"/>
  <c r="E35" i="1"/>
  <c r="E54" i="2"/>
  <c r="E36" i="2"/>
  <c r="E79" i="1"/>
  <c r="E45" i="1"/>
  <c r="F45" i="1" s="1"/>
  <c r="G45" i="1" s="1"/>
  <c r="K45" i="1" s="1"/>
  <c r="E31" i="1"/>
  <c r="E53" i="1"/>
  <c r="E37" i="1"/>
  <c r="E71" i="1"/>
  <c r="E48" i="1"/>
  <c r="F48" i="1" s="1"/>
  <c r="G48" i="1" s="1"/>
  <c r="K48" i="1" s="1"/>
  <c r="E42" i="1"/>
  <c r="E25" i="1"/>
  <c r="E67" i="1"/>
  <c r="F67" i="1" s="1"/>
  <c r="G67" i="1" s="1"/>
  <c r="K67" i="1" s="1"/>
  <c r="E30" i="1"/>
  <c r="E70" i="1"/>
  <c r="E76" i="1"/>
  <c r="E33" i="1"/>
  <c r="F33" i="1" s="1"/>
  <c r="G33" i="1" s="1"/>
  <c r="H33" i="1" s="1"/>
  <c r="E29" i="1"/>
  <c r="G46" i="1"/>
  <c r="K46" i="1" s="1"/>
  <c r="E26" i="1"/>
  <c r="F17" i="1"/>
  <c r="E60" i="1"/>
  <c r="E65" i="1"/>
  <c r="E51" i="1"/>
  <c r="G81" i="1"/>
  <c r="K81" i="1" s="1"/>
  <c r="G61" i="1"/>
  <c r="J61" i="1" s="1"/>
  <c r="E57" i="1"/>
  <c r="G21" i="1"/>
  <c r="E22" i="1"/>
  <c r="E75" i="1"/>
  <c r="E52" i="1"/>
  <c r="E49" i="1"/>
  <c r="E27" i="1"/>
  <c r="G63" i="1"/>
  <c r="J63" i="1" s="1"/>
  <c r="E47" i="1"/>
  <c r="E41" i="1"/>
  <c r="G24" i="1"/>
  <c r="I24" i="1" s="1"/>
  <c r="E66" i="1"/>
  <c r="E56" i="1"/>
  <c r="E72" i="1"/>
  <c r="E80" i="1"/>
  <c r="E21" i="2"/>
  <c r="E40" i="1"/>
  <c r="E78" i="1"/>
  <c r="E46" i="1"/>
  <c r="F46" i="1" s="1"/>
  <c r="G39" i="1"/>
  <c r="I39" i="1" s="1"/>
  <c r="E83" i="1"/>
  <c r="F83" i="1" s="1"/>
  <c r="G83" i="1" s="1"/>
  <c r="K83" i="1" s="1"/>
  <c r="E62" i="1"/>
  <c r="E74" i="1"/>
  <c r="E34" i="1"/>
  <c r="E77" i="1"/>
  <c r="E55" i="1"/>
  <c r="E49" i="2" l="1"/>
  <c r="F34" i="1"/>
  <c r="G34" i="1" s="1"/>
  <c r="I34" i="1" s="1"/>
  <c r="F52" i="1"/>
  <c r="G52" i="1" s="1"/>
  <c r="J52" i="1" s="1"/>
  <c r="E14" i="2"/>
  <c r="E31" i="2"/>
  <c r="F75" i="1"/>
  <c r="G75" i="1" s="1"/>
  <c r="K75" i="1" s="1"/>
  <c r="F29" i="1"/>
  <c r="G29" i="1" s="1"/>
  <c r="I29" i="1" s="1"/>
  <c r="E45" i="2"/>
  <c r="E47" i="2"/>
  <c r="F31" i="1"/>
  <c r="G31" i="1" s="1"/>
  <c r="I31" i="1" s="1"/>
  <c r="E13" i="2"/>
  <c r="F50" i="1"/>
  <c r="G50" i="1" s="1"/>
  <c r="K50" i="1" s="1"/>
  <c r="E51" i="2"/>
  <c r="F36" i="1"/>
  <c r="G36" i="1" s="1"/>
  <c r="I36" i="1" s="1"/>
  <c r="E15" i="2"/>
  <c r="F53" i="1"/>
  <c r="G53" i="1" s="1"/>
  <c r="J53" i="1" s="1"/>
  <c r="E26" i="2"/>
  <c r="F66" i="1"/>
  <c r="G66" i="1" s="1"/>
  <c r="J66" i="1" s="1"/>
  <c r="F22" i="1"/>
  <c r="G22" i="1" s="1"/>
  <c r="E38" i="2"/>
  <c r="E29" i="2"/>
  <c r="F71" i="1"/>
  <c r="G71" i="1" s="1"/>
  <c r="J71" i="1" s="1"/>
  <c r="E19" i="2"/>
  <c r="F59" i="1"/>
  <c r="G59" i="1" s="1"/>
  <c r="K59" i="1" s="1"/>
  <c r="F23" i="1"/>
  <c r="G23" i="1" s="1"/>
  <c r="I23" i="1" s="1"/>
  <c r="E39" i="2"/>
  <c r="F43" i="1"/>
  <c r="G43" i="1" s="1"/>
  <c r="J43" i="1" s="1"/>
  <c r="E58" i="2"/>
  <c r="F27" i="1"/>
  <c r="G27" i="1" s="1"/>
  <c r="I27" i="1" s="1"/>
  <c r="E43" i="2"/>
  <c r="E64" i="2"/>
  <c r="F73" i="1"/>
  <c r="G73" i="1" s="1"/>
  <c r="I73" i="1" s="1"/>
  <c r="F72" i="1"/>
  <c r="G72" i="1" s="1"/>
  <c r="J72" i="1" s="1"/>
  <c r="E30" i="2"/>
  <c r="F65" i="1"/>
  <c r="G65" i="1" s="1"/>
  <c r="J65" i="1" s="1"/>
  <c r="E25" i="2"/>
  <c r="E41" i="2"/>
  <c r="F25" i="1"/>
  <c r="G25" i="1" s="1"/>
  <c r="I25" i="1" s="1"/>
  <c r="F56" i="1"/>
  <c r="G56" i="1" s="1"/>
  <c r="K56" i="1" s="1"/>
  <c r="E61" i="2"/>
  <c r="F42" i="1"/>
  <c r="G42" i="1" s="1"/>
  <c r="I42" i="1" s="1"/>
  <c r="E57" i="2"/>
  <c r="F40" i="1"/>
  <c r="G40" i="1" s="1"/>
  <c r="I40" i="1" s="1"/>
  <c r="E55" i="2"/>
  <c r="E56" i="2"/>
  <c r="F41" i="1"/>
  <c r="U41" i="1" s="1"/>
  <c r="F76" i="1"/>
  <c r="G76" i="1" s="1"/>
  <c r="J76" i="1" s="1"/>
  <c r="E32" i="2"/>
  <c r="E16" i="2"/>
  <c r="F54" i="1"/>
  <c r="G54" i="1" s="1"/>
  <c r="K54" i="1" s="1"/>
  <c r="E24" i="2"/>
  <c r="F64" i="1"/>
  <c r="G64" i="1" s="1"/>
  <c r="J64" i="1" s="1"/>
  <c r="F38" i="1"/>
  <c r="G38" i="1" s="1"/>
  <c r="I38" i="1" s="1"/>
  <c r="E53" i="2"/>
  <c r="F80" i="1"/>
  <c r="G80" i="1" s="1"/>
  <c r="I80" i="1" s="1"/>
  <c r="E66" i="2"/>
  <c r="F69" i="1"/>
  <c r="G69" i="1" s="1"/>
  <c r="J69" i="1" s="1"/>
  <c r="E27" i="2"/>
  <c r="E34" i="2"/>
  <c r="F78" i="1"/>
  <c r="G78" i="1" s="1"/>
  <c r="K78" i="1" s="1"/>
  <c r="F49" i="1"/>
  <c r="G49" i="1" s="1"/>
  <c r="J49" i="1" s="1"/>
  <c r="E59" i="2"/>
  <c r="E42" i="2"/>
  <c r="F26" i="1"/>
  <c r="G26" i="1" s="1"/>
  <c r="I26" i="1" s="1"/>
  <c r="F44" i="1"/>
  <c r="G44" i="1" s="1"/>
  <c r="K44" i="1" s="1"/>
  <c r="E11" i="2"/>
  <c r="F74" i="1"/>
  <c r="G74" i="1" s="1"/>
  <c r="I74" i="1" s="1"/>
  <c r="E65" i="2"/>
  <c r="F35" i="1"/>
  <c r="G35" i="1" s="1"/>
  <c r="I35" i="1" s="1"/>
  <c r="E50" i="2"/>
  <c r="F62" i="1"/>
  <c r="G62" i="1" s="1"/>
  <c r="J62" i="1" s="1"/>
  <c r="E22" i="2"/>
  <c r="E12" i="2"/>
  <c r="F47" i="1"/>
  <c r="G47" i="1" s="1"/>
  <c r="K47" i="1" s="1"/>
  <c r="I21" i="1"/>
  <c r="F60" i="1"/>
  <c r="G60" i="1" s="1"/>
  <c r="J60" i="1" s="1"/>
  <c r="E20" i="2"/>
  <c r="E46" i="2"/>
  <c r="F30" i="1"/>
  <c r="G30" i="1" s="1"/>
  <c r="I30" i="1" s="1"/>
  <c r="E52" i="2"/>
  <c r="F37" i="1"/>
  <c r="G37" i="1" s="1"/>
  <c r="I37" i="1" s="1"/>
  <c r="E18" i="2"/>
  <c r="F58" i="1"/>
  <c r="G58" i="1" s="1"/>
  <c r="K58" i="1" s="1"/>
  <c r="F68" i="1"/>
  <c r="G68" i="1" s="1"/>
  <c r="I68" i="1" s="1"/>
  <c r="E63" i="2"/>
  <c r="F77" i="1"/>
  <c r="G77" i="1" s="1"/>
  <c r="J77" i="1" s="1"/>
  <c r="E33" i="2"/>
  <c r="E28" i="2"/>
  <c r="F70" i="1"/>
  <c r="G70" i="1" s="1"/>
  <c r="J70" i="1" s="1"/>
  <c r="E17" i="2"/>
  <c r="F55" i="1"/>
  <c r="G55" i="1" s="1"/>
  <c r="K55" i="1" s="1"/>
  <c r="E62" i="2"/>
  <c r="F57" i="1"/>
  <c r="G57" i="1" s="1"/>
  <c r="K57" i="1" s="1"/>
  <c r="E60" i="2"/>
  <c r="F51" i="1"/>
  <c r="G51" i="1" s="1"/>
  <c r="J51" i="1" s="1"/>
  <c r="E35" i="2"/>
  <c r="F79" i="1"/>
  <c r="G79" i="1" s="1"/>
  <c r="J79" i="1" s="1"/>
  <c r="E48" i="2"/>
  <c r="F32" i="1"/>
  <c r="G32" i="1" s="1"/>
  <c r="I32" i="1" s="1"/>
  <c r="E44" i="2"/>
  <c r="F28" i="1"/>
  <c r="G28" i="1" s="1"/>
  <c r="I28" i="1" s="1"/>
  <c r="C11" i="1"/>
  <c r="C12" i="1"/>
  <c r="C16" i="1" l="1"/>
  <c r="D18" i="1" s="1"/>
  <c r="O52" i="1"/>
  <c r="O34" i="1"/>
  <c r="O80" i="1"/>
  <c r="O31" i="1"/>
  <c r="O56" i="1"/>
  <c r="O79" i="1"/>
  <c r="O48" i="1"/>
  <c r="O72" i="1"/>
  <c r="O58" i="1"/>
  <c r="O75" i="1"/>
  <c r="O30" i="1"/>
  <c r="O61" i="1"/>
  <c r="O24" i="1"/>
  <c r="O50" i="1"/>
  <c r="O60" i="1"/>
  <c r="O33" i="1"/>
  <c r="O63" i="1"/>
  <c r="O66" i="1"/>
  <c r="O70" i="1"/>
  <c r="O74" i="1"/>
  <c r="O40" i="1"/>
  <c r="O57" i="1"/>
  <c r="O47" i="1"/>
  <c r="O44" i="1"/>
  <c r="O23" i="1"/>
  <c r="O81" i="1"/>
  <c r="O42" i="1"/>
  <c r="O62" i="1"/>
  <c r="O68" i="1"/>
  <c r="O28" i="1"/>
  <c r="O73" i="1"/>
  <c r="O21" i="1"/>
  <c r="O38" i="1"/>
  <c r="O49" i="1"/>
  <c r="O45" i="1"/>
  <c r="O51" i="1"/>
  <c r="O46" i="1"/>
  <c r="O71" i="1"/>
  <c r="O83" i="1"/>
  <c r="O25" i="1"/>
  <c r="O39" i="1"/>
  <c r="O36" i="1"/>
  <c r="O64" i="1"/>
  <c r="O53" i="1"/>
  <c r="O78" i="1"/>
  <c r="O26" i="1"/>
  <c r="O27" i="1"/>
  <c r="O37" i="1"/>
  <c r="C15" i="1"/>
  <c r="O54" i="1"/>
  <c r="O41" i="1"/>
  <c r="O29" i="1"/>
  <c r="O67" i="1"/>
  <c r="O43" i="1"/>
  <c r="O55" i="1"/>
  <c r="O35" i="1"/>
  <c r="O76" i="1"/>
  <c r="O82" i="1"/>
  <c r="O22" i="1"/>
  <c r="O59" i="1"/>
  <c r="O77" i="1"/>
  <c r="O69" i="1"/>
  <c r="O32" i="1"/>
  <c r="O65" i="1"/>
  <c r="I22" i="1"/>
  <c r="C18" i="1" l="1"/>
  <c r="F18" i="1"/>
  <c r="F19" i="1" s="1"/>
</calcChain>
</file>

<file path=xl/sharedStrings.xml><?xml version="1.0" encoding="utf-8"?>
<sst xmlns="http://schemas.openxmlformats.org/spreadsheetml/2006/main" count="647" uniqueCount="307">
  <si>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</si>
  <si>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</si>
  <si>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</si>
  <si>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</si>
  <si>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</si>
  <si>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</si>
  <si>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</si>
  <si>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</si>
  <si>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</si>
  <si>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</si>
  <si>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</si>
  <si>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</si>
  <si>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</si>
  <si>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</si>
  <si>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</si>
  <si>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</si>
  <si>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</si>
  <si>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</si>
  <si>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</si>
  <si>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</si>
  <si>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</si>
  <si>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</si>
  <si>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</si>
  <si>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</si>
  <si>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</si>
  <si>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</si>
  <si>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</si>
  <si>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</si>
  <si>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</si>
  <si>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Blaettler E</t>
  </si>
  <si>
    <t>BBSAG Bull.116</t>
  </si>
  <si>
    <t>B</t>
  </si>
  <si>
    <t>II</t>
  </si>
  <si>
    <t>IBVS 5263</t>
  </si>
  <si>
    <t>I</t>
  </si>
  <si>
    <t>IBVS 5016</t>
  </si>
  <si>
    <t>IBVS 4887</t>
  </si>
  <si>
    <t>IBVS 4888</t>
  </si>
  <si>
    <t>EA/SD</t>
  </si>
  <si>
    <t># of data points:</t>
  </si>
  <si>
    <t>MS Cas / gsc 4014-1671?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</si>
  <si>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</si>
  <si>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</si>
  <si>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</si>
  <si>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</si>
  <si>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</si>
  <si>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</si>
  <si>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</si>
  <si>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</si>
  <si>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Start of linear fit &gt;&gt;&gt;&gt;&gt;&gt;&gt;&gt;&gt;&gt;&gt;&gt;&gt;&gt;&gt;&gt;&gt;&gt;&gt;&gt;&gt;</t>
  </si>
  <si>
    <t>IBVS 5874</t>
  </si>
  <si>
    <t>OEJV 0074</t>
  </si>
  <si>
    <t>IBVS 5920</t>
  </si>
  <si>
    <t>IBVS 5960</t>
  </si>
  <si>
    <t>Add cycle</t>
  </si>
  <si>
    <t>Old Cycle</t>
  </si>
  <si>
    <t>IBVS 5918</t>
  </si>
  <si>
    <t>IBVS 6042</t>
  </si>
  <si>
    <t>2013JAVSO..41..122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</si>
  <si>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</si>
  <si>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</si>
  <si>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</si>
  <si>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</si>
  <si>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</si>
  <si>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</si>
  <si>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</si>
  <si>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</si>
  <si>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</si>
  <si>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</si>
  <si>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</si>
  <si>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</si>
  <si>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</si>
  <si>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2427775.25 </t>
  </si>
  <si>
    <t> 03.12.1934 18:00 </t>
  </si>
  <si>
    <t> 0.01 </t>
  </si>
  <si>
    <t>P </t>
  </si>
  <si>
    <t> P.Parenago </t>
  </si>
  <si>
    <t> PZ 5.162 </t>
  </si>
  <si>
    <t>2427980.451 </t>
  </si>
  <si>
    <t> 26.06.1935 22:49 </t>
  </si>
  <si>
    <t> -0.013 </t>
  </si>
  <si>
    <t> W.Wenzel </t>
  </si>
  <si>
    <t> VSS 2.352 </t>
  </si>
  <si>
    <t>2428081.35 </t>
  </si>
  <si>
    <t> 05.10.1935 20:24 </t>
  </si>
  <si>
    <t> 0.03 </t>
  </si>
  <si>
    <t>2428576.22 </t>
  </si>
  <si>
    <t> 11.02.1937 17:16 </t>
  </si>
  <si>
    <t>2429521.496 </t>
  </si>
  <si>
    <t> 14.09.1939 23:54 </t>
  </si>
  <si>
    <t> 0.056 </t>
  </si>
  <si>
    <t> P.N.Kholopov </t>
  </si>
  <si>
    <t> PZ 12.71 </t>
  </si>
  <si>
    <t>2429574.233 </t>
  </si>
  <si>
    <t> 06.11.1939 17:35 </t>
  </si>
  <si>
    <t> 0.020 </t>
  </si>
  <si>
    <t>2429901.398 </t>
  </si>
  <si>
    <t> 28.09.1940 21:33 </t>
  </si>
  <si>
    <t> -0.008 </t>
  </si>
  <si>
    <t>2433153.379 </t>
  </si>
  <si>
    <t> 24.08.1949 21:05 </t>
  </si>
  <si>
    <t> -0.025 </t>
  </si>
  <si>
    <t>2433181.555 </t>
  </si>
  <si>
    <t> 22.09.1949 01:19 </t>
  </si>
  <si>
    <t> 0.005 </t>
  </si>
  <si>
    <t>2433214.403 </t>
  </si>
  <si>
    <t> 24.10.1949 21:40 </t>
  </si>
  <si>
    <t> 0.017 </t>
  </si>
  <si>
    <t>2434599.407 </t>
  </si>
  <si>
    <t> 09.08.1953 21:46 </t>
  </si>
  <si>
    <t> 0.019 </t>
  </si>
  <si>
    <t>2434627.537 </t>
  </si>
  <si>
    <t> 07.09.1953 00:53 </t>
  </si>
  <si>
    <t> 0.003 </t>
  </si>
  <si>
    <t>2435075.550 </t>
  </si>
  <si>
    <t> 29.11.1954 01:12 </t>
  </si>
  <si>
    <t> 0.031 </t>
  </si>
  <si>
    <t> Kholopov (Lichtk.) </t>
  </si>
  <si>
    <t>2435394.488 </t>
  </si>
  <si>
    <t> 13.10.1955 23:42 </t>
  </si>
  <si>
    <t> -0.015 </t>
  </si>
  <si>
    <t>2447777.459 </t>
  </si>
  <si>
    <t> 07.09.1989 23:00 </t>
  </si>
  <si>
    <t> -1.726 </t>
  </si>
  <si>
    <t>V </t>
  </si>
  <si>
    <t> J.Borovicka </t>
  </si>
  <si>
    <t> BRNO 30 </t>
  </si>
  <si>
    <t>2447777.472 </t>
  </si>
  <si>
    <t> 07.09.1989 23:19 </t>
  </si>
  <si>
    <t> -1.713 </t>
  </si>
  <si>
    <t> M.Jechumtal </t>
  </si>
  <si>
    <t>2447777.473 </t>
  </si>
  <si>
    <t> 07.09.1989 23:21 </t>
  </si>
  <si>
    <t> -1.712 </t>
  </si>
  <si>
    <t> J.Manek </t>
  </si>
  <si>
    <t>2447859.541 </t>
  </si>
  <si>
    <t> 29.11.1989 00:59 </t>
  </si>
  <si>
    <t> -1.736 </t>
  </si>
  <si>
    <t> A.Dedoch </t>
  </si>
  <si>
    <t>2448605.407 </t>
  </si>
  <si>
    <t> 14.12.1991 21:46 </t>
  </si>
  <si>
    <t> -1.730 </t>
  </si>
  <si>
    <t> BRNO 31 </t>
  </si>
  <si>
    <t>2448726.3034 </t>
  </si>
  <si>
    <t> 13.04.1992 19:16 </t>
  </si>
  <si>
    <t> -1.6252 </t>
  </si>
  <si>
    <t>E </t>
  </si>
  <si>
    <t>?</t>
  </si>
  <si>
    <t> E.Blättler </t>
  </si>
  <si>
    <t> BBS 116 </t>
  </si>
  <si>
    <t>2448843.476 </t>
  </si>
  <si>
    <t> 08.08.1992 23:25 </t>
  </si>
  <si>
    <t>2450017.3786 </t>
  </si>
  <si>
    <t> 26.10.1995 21:05 </t>
  </si>
  <si>
    <t> -1.7327 </t>
  </si>
  <si>
    <t> BRNO 32 </t>
  </si>
  <si>
    <t>2450601.4068 </t>
  </si>
  <si>
    <t> 01.06.1997 21:45 </t>
  </si>
  <si>
    <t> -1.7272 </t>
  </si>
  <si>
    <t> J.Safar </t>
  </si>
  <si>
    <t>IBVS 4887 </t>
  </si>
  <si>
    <t>2450750.3501 </t>
  </si>
  <si>
    <t> 28.10.1997 20:24 </t>
  </si>
  <si>
    <t> -1.7214 </t>
  </si>
  <si>
    <t>2450845.3352 </t>
  </si>
  <si>
    <t> 31.01.1998 20:02 </t>
  </si>
  <si>
    <t> -1.7279 </t>
  </si>
  <si>
    <t> M.Netolicky </t>
  </si>
  <si>
    <t>2450961.4358 </t>
  </si>
  <si>
    <t> 27.05.1998 22:27 </t>
  </si>
  <si>
    <t> -1.7282 </t>
  </si>
  <si>
    <t>IBVS 4888 </t>
  </si>
  <si>
    <t>2451110.3765 </t>
  </si>
  <si>
    <t> 23.10.1998 21:02 </t>
  </si>
  <si>
    <t> -1.7250 </t>
  </si>
  <si>
    <t> Hajek&amp;Koss </t>
  </si>
  <si>
    <t>2451464.5446 </t>
  </si>
  <si>
    <t> 13.10.1999 01:04 </t>
  </si>
  <si>
    <t> -1.7233 </t>
  </si>
  <si>
    <t>o</t>
  </si>
  <si>
    <t> K.&amp; M.Rätz </t>
  </si>
  <si>
    <t>BAVM 132 </t>
  </si>
  <si>
    <t>2451471.5801 </t>
  </si>
  <si>
    <t> 20.10.1999 01:55 </t>
  </si>
  <si>
    <t> -1.7242 </t>
  </si>
  <si>
    <t>2451484.4826 </t>
  </si>
  <si>
    <t> 01.11.1999 23:34 </t>
  </si>
  <si>
    <t> -1.7218 </t>
  </si>
  <si>
    <t>IBVS 5263 </t>
  </si>
  <si>
    <t>2451518.4949 </t>
  </si>
  <si>
    <t> 05.12.1999 23:52 </t>
  </si>
  <si>
    <t> -1.7189 </t>
  </si>
  <si>
    <t> M.Zejda </t>
  </si>
  <si>
    <t>2451558.3634 </t>
  </si>
  <si>
    <t> 14.01.2000 20:43 </t>
  </si>
  <si>
    <t> -1.7234 </t>
  </si>
  <si>
    <t> R.Diethelm </t>
  </si>
  <si>
    <t> BBS 122 </t>
  </si>
  <si>
    <t>2452136.5215 </t>
  </si>
  <si>
    <t> 15.08.2001 00:30 </t>
  </si>
  <si>
    <t> -1.7243 </t>
  </si>
  <si>
    <t> BBS 126 </t>
  </si>
  <si>
    <t>2452156.45924 </t>
  </si>
  <si>
    <t> 03.09.2001 23:01 </t>
  </si>
  <si>
    <t> -1.72307 </t>
  </si>
  <si>
    <t>C </t>
  </si>
  <si>
    <t> J.Šafár </t>
  </si>
  <si>
    <t>OEJV 0074 </t>
  </si>
  <si>
    <t>2452592.7172 </t>
  </si>
  <si>
    <t> 14.11.2002 05:12 </t>
  </si>
  <si>
    <t> -1.7230 </t>
  </si>
  <si>
    <t> S.Dvorak </t>
  </si>
  <si>
    <t> JAAVSO 41;122 </t>
  </si>
  <si>
    <t>2453653.4542 </t>
  </si>
  <si>
    <t> 09.10.2005 22:54 </t>
  </si>
  <si>
    <t> -1.7260 </t>
  </si>
  <si>
    <t>-I</t>
  </si>
  <si>
    <t> F.Agerer </t>
  </si>
  <si>
    <t>BAVM 178 </t>
  </si>
  <si>
    <t>2453717.3739 </t>
  </si>
  <si>
    <t> 12.12.2005 20:58 </t>
  </si>
  <si>
    <t>15897.5</t>
  </si>
  <si>
    <t> -1.7204 </t>
  </si>
  <si>
    <t>2453768.3888 </t>
  </si>
  <si>
    <t> 01.02.2006 21:19 </t>
  </si>
  <si>
    <t>15941</t>
  </si>
  <si>
    <t> -1.7196 </t>
  </si>
  <si>
    <t>2453990.6201 </t>
  </si>
  <si>
    <t> 12.09.2006 02:52 </t>
  </si>
  <si>
    <t>16130.5</t>
  </si>
  <si>
    <t>BAVM 183 </t>
  </si>
  <si>
    <t>2454002.3470 </t>
  </si>
  <si>
    <t> 23.09.2006 20:19 </t>
  </si>
  <si>
    <t>16140.5</t>
  </si>
  <si>
    <t> -1.7223 </t>
  </si>
  <si>
    <t>2454003.5209 </t>
  </si>
  <si>
    <t> 25.09.2006 00:30 </t>
  </si>
  <si>
    <t>16141.5</t>
  </si>
  <si>
    <t> -1.7211 </t>
  </si>
  <si>
    <t>2454020.5289 </t>
  </si>
  <si>
    <t> 12.10.2006 00:41 </t>
  </si>
  <si>
    <t>16156</t>
  </si>
  <si>
    <t> -1.7178 </t>
  </si>
  <si>
    <t>2454090.3051 </t>
  </si>
  <si>
    <t> 20.12.2006 19:19 </t>
  </si>
  <si>
    <t>16215.5</t>
  </si>
  <si>
    <t> -1.7194 </t>
  </si>
  <si>
    <t> BBS 133 (=IBVS 5781) </t>
  </si>
  <si>
    <t>2454454.4414 </t>
  </si>
  <si>
    <t> 19.12.2007 22:35 </t>
  </si>
  <si>
    <t>16526</t>
  </si>
  <si>
    <t> -1.7177 </t>
  </si>
  <si>
    <t>BAVM 201 </t>
  </si>
  <si>
    <t>2454830.3011 </t>
  </si>
  <si>
    <t> 29.12.2008 19:13 </t>
  </si>
  <si>
    <t>16846.5</t>
  </si>
  <si>
    <t> -1.7200 </t>
  </si>
  <si>
    <t>BAVM 209 </t>
  </si>
  <si>
    <t>2454840.2726 </t>
  </si>
  <si>
    <t> 08.01.2009 18:32 </t>
  </si>
  <si>
    <t>16855</t>
  </si>
  <si>
    <t> -1.7167 </t>
  </si>
  <si>
    <t>2454841.4452 </t>
  </si>
  <si>
    <t> 09.01.2009 22:41 </t>
  </si>
  <si>
    <t>16856</t>
  </si>
  <si>
    <t> -1.7169 </t>
  </si>
  <si>
    <t>2455058.3987 </t>
  </si>
  <si>
    <t> 14.08.2009 21:34 </t>
  </si>
  <si>
    <t>17041</t>
  </si>
  <si>
    <t>BAVM 212 </t>
  </si>
  <si>
    <t>2455096.5121 </t>
  </si>
  <si>
    <t> 22.09.2009 00:17 </t>
  </si>
  <si>
    <t>17073.5</t>
  </si>
  <si>
    <t> -1.7201 </t>
  </si>
  <si>
    <t>2455158.6657 </t>
  </si>
  <si>
    <t> 23.11.2009 03:58 </t>
  </si>
  <si>
    <t>17126.5</t>
  </si>
  <si>
    <t> -1.7215 </t>
  </si>
  <si>
    <t>IBVS 5920 </t>
  </si>
  <si>
    <t>2455462.4079 </t>
  </si>
  <si>
    <t> 22.09.2010 21:47 </t>
  </si>
  <si>
    <t>17385.5</t>
  </si>
  <si>
    <t> -1.7180 </t>
  </si>
  <si>
    <t>BAVM 215 </t>
  </si>
  <si>
    <t>2455473.5496 </t>
  </si>
  <si>
    <t> 04.10.2010 01:11 </t>
  </si>
  <si>
    <t>17395</t>
  </si>
  <si>
    <t> -1.7173 </t>
  </si>
  <si>
    <t>2455511.6627 </t>
  </si>
  <si>
    <t> 11.11.2010 03:54 </t>
  </si>
  <si>
    <t>17427.5</t>
  </si>
  <si>
    <t> -1.7182 </t>
  </si>
  <si>
    <t>IBVS 5960 </t>
  </si>
  <si>
    <t>2455514.5943 </t>
  </si>
  <si>
    <t> 14.11.2010 02:15 </t>
  </si>
  <si>
    <t>17430</t>
  </si>
  <si>
    <t> -1.7184 </t>
  </si>
  <si>
    <t>2455857.6211 </t>
  </si>
  <si>
    <t> 23.10.2011 02:54 </t>
  </si>
  <si>
    <t>17722.5</t>
  </si>
  <si>
    <t> -1.7170 </t>
  </si>
  <si>
    <t>BAVM 225 </t>
  </si>
  <si>
    <t>2456251.6606 </t>
  </si>
  <si>
    <t> 20.11.2012 03:51 </t>
  </si>
  <si>
    <t>18058.5</t>
  </si>
  <si>
    <t>IBVS 6042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</si>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</sst>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Border="1" applyAlignment="1"/>
    <xf numFmtId="0" fontId="12" fillId="0" borderId="0" xfId="0" applyFont="1" applyBorder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>
      <alignment vertical="top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/>
    <xf numFmtId="0" fontId="4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3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Cas - O-C Diagr.</a:t>
            </a:r>
          </a:p>
        </c:rich>
      </c:tx>
      <c:layout>
        <c:manualLayout>
          <c:xMode val="edge"/>
          <c:yMode val="edge"/>
          <c:x val="0.3939399723794855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5745961585799"/>
          <c:y val="0.14769252958613219"/>
          <c:w val="0.8388441035588083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2-40D4-8C1F-4350F6B5CD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1.4467499997408595E-2</c:v>
                </c:pt>
                <c:pt idx="1">
                  <c:v>-1.3384999998379499E-2</c:v>
                </c:pt>
                <c:pt idx="2">
                  <c:v>3.0293199997686315E-2</c:v>
                </c:pt>
                <c:pt idx="3">
                  <c:v>5.5745999998180196E-3</c:v>
                </c:pt>
                <c:pt idx="4">
                  <c:v>5.6116799998562783E-2</c:v>
                </c:pt>
                <c:pt idx="5">
                  <c:v>1.9983300000603776E-2</c:v>
                </c:pt>
                <c:pt idx="6">
                  <c:v>-8.4443999985523988E-3</c:v>
                </c:pt>
                <c:pt idx="7">
                  <c:v>-2.5204300000041258E-2</c:v>
                </c:pt>
                <c:pt idx="8">
                  <c:v>5.12449999951059E-3</c:v>
                </c:pt>
                <c:pt idx="9">
                  <c:v>1.650810000137426E-2</c:v>
                </c:pt>
                <c:pt idx="10">
                  <c:v>1.8937799999548588E-2</c:v>
                </c:pt>
                <c:pt idx="11">
                  <c:v>3.2665999970049597E-3</c:v>
                </c:pt>
                <c:pt idx="13">
                  <c:v>3.1000000002677552E-2</c:v>
                </c:pt>
                <c:pt idx="14">
                  <c:v>-1.5273600001819432E-2</c:v>
                </c:pt>
                <c:pt idx="15">
                  <c:v>3.3134700002847239E-2</c:v>
                </c:pt>
                <c:pt idx="16">
                  <c:v>4.6134700001857709E-2</c:v>
                </c:pt>
                <c:pt idx="17">
                  <c:v>4.7134699998423457E-2</c:v>
                </c:pt>
                <c:pt idx="18">
                  <c:v>2.3593699996126816E-2</c:v>
                </c:pt>
                <c:pt idx="19">
                  <c:v>2.9306899996299762E-2</c:v>
                </c:pt>
                <c:pt idx="21">
                  <c:v>3.2838000006449874E-2</c:v>
                </c:pt>
                <c:pt idx="47">
                  <c:v>3.9731800003210083E-2</c:v>
                </c:pt>
                <c:pt idx="52">
                  <c:v>3.9516149998235051E-2</c:v>
                </c:pt>
                <c:pt idx="53">
                  <c:v>3.8986399995337706E-2</c:v>
                </c:pt>
                <c:pt idx="59">
                  <c:v>4.2127699998673052E-2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2-40D4-8C1F-4350F6B5CD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2">
                  <c:v>2.6401700000860728E-2</c:v>
                </c:pt>
                <c:pt idx="28">
                  <c:v>3.1173900002613664E-2</c:v>
                </c:pt>
                <c:pt idx="30">
                  <c:v>3.4070099995005876E-2</c:v>
                </c:pt>
                <c:pt idx="31">
                  <c:v>3.5807500004011672E-2</c:v>
                </c:pt>
                <c:pt idx="32">
                  <c:v>3.4889700000348967E-2</c:v>
                </c:pt>
                <c:pt idx="39">
                  <c:v>3.3103550005762372E-2</c:v>
                </c:pt>
                <c:pt idx="40">
                  <c:v>3.8675199997669552E-2</c:v>
                </c:pt>
                <c:pt idx="41">
                  <c:v>3.9546150001115166E-2</c:v>
                </c:pt>
                <c:pt idx="42">
                  <c:v>3.7317299997084774E-2</c:v>
                </c:pt>
                <c:pt idx="43">
                  <c:v>3.6854300000413787E-2</c:v>
                </c:pt>
                <c:pt idx="44">
                  <c:v>3.8018000006559305E-2</c:v>
                </c:pt>
                <c:pt idx="45">
                  <c:v>4.1341650001413655E-2</c:v>
                </c:pt>
                <c:pt idx="48">
                  <c:v>4.1410650002944749E-2</c:v>
                </c:pt>
                <c:pt idx="49">
                  <c:v>3.9126499992562458E-2</c:v>
                </c:pt>
                <c:pt idx="50">
                  <c:v>4.2367949994513765E-2</c:v>
                </c:pt>
                <c:pt idx="51">
                  <c:v>4.2231650004396215E-2</c:v>
                </c:pt>
                <c:pt idx="55">
                  <c:v>4.106080000201473E-2</c:v>
                </c:pt>
                <c:pt idx="56">
                  <c:v>4.1765949994442053E-2</c:v>
                </c:pt>
                <c:pt idx="58">
                  <c:v>4.0695449992199428E-2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42-40D4-8C1F-4350F6B5CD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3.1924299997626804E-2</c:v>
                </c:pt>
                <c:pt idx="24">
                  <c:v>3.1924299997626804E-2</c:v>
                </c:pt>
                <c:pt idx="25">
                  <c:v>3.2108349994814489E-2</c:v>
                </c:pt>
                <c:pt idx="26">
                  <c:v>3.7714199999754783E-2</c:v>
                </c:pt>
                <c:pt idx="27">
                  <c:v>3.7714199999754783E-2</c:v>
                </c:pt>
                <c:pt idx="29">
                  <c:v>3.0880199999955948E-2</c:v>
                </c:pt>
                <c:pt idx="33">
                  <c:v>3.7290400003257673E-2</c:v>
                </c:pt>
                <c:pt idx="34">
                  <c:v>4.0237699999124743E-2</c:v>
                </c:pt>
                <c:pt idx="35">
                  <c:v>3.5703500005183741E-2</c:v>
                </c:pt>
                <c:pt idx="36">
                  <c:v>3.4807600008207373E-2</c:v>
                </c:pt>
                <c:pt idx="37">
                  <c:v>3.6030499992193654E-2</c:v>
                </c:pt>
                <c:pt idx="38">
                  <c:v>3.6086899999645539E-2</c:v>
                </c:pt>
                <c:pt idx="46">
                  <c:v>3.9731799908622634E-2</c:v>
                </c:pt>
                <c:pt idx="54">
                  <c:v>3.7562500001513399E-2</c:v>
                </c:pt>
                <c:pt idx="57">
                  <c:v>4.0936200006399304E-2</c:v>
                </c:pt>
                <c:pt idx="60">
                  <c:v>4.2230899998685345E-2</c:v>
                </c:pt>
                <c:pt idx="61">
                  <c:v>4.2389000002003741E-2</c:v>
                </c:pt>
                <c:pt idx="62">
                  <c:v>4.0871199998946395E-2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42-40D4-8C1F-4350F6B5CD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42-40D4-8C1F-4350F6B5CD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42-40D4-8C1F-4350F6B5CD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42-40D4-8C1F-4350F6B5CD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5.6664081050572662E-3</c:v>
                </c:pt>
                <c:pt idx="1">
                  <c:v>5.9234294152090902E-3</c:v>
                </c:pt>
                <c:pt idx="2">
                  <c:v>6.0497370304837018E-3</c:v>
                </c:pt>
                <c:pt idx="3">
                  <c:v>6.6695255612498148E-3</c:v>
                </c:pt>
                <c:pt idx="4">
                  <c:v>7.8532922811490758E-3</c:v>
                </c:pt>
                <c:pt idx="5">
                  <c:v>7.9193834751881166E-3</c:v>
                </c:pt>
                <c:pt idx="6">
                  <c:v>8.3291488782301672E-3</c:v>
                </c:pt>
                <c:pt idx="7">
                  <c:v>1.2401835124235937E-2</c:v>
                </c:pt>
                <c:pt idx="8">
                  <c:v>1.2437083761056759E-2</c:v>
                </c:pt>
                <c:pt idx="9">
                  <c:v>1.2478207170681051E-2</c:v>
                </c:pt>
                <c:pt idx="10">
                  <c:v>1.4212733840905651E-2</c:v>
                </c:pt>
                <c:pt idx="11">
                  <c:v>1.4247982477726472E-2</c:v>
                </c:pt>
                <c:pt idx="12">
                  <c:v>1.4809023280457884E-2</c:v>
                </c:pt>
                <c:pt idx="13">
                  <c:v>1.4809023280457884E-2</c:v>
                </c:pt>
                <c:pt idx="14">
                  <c:v>1.5208507831093862E-2</c:v>
                </c:pt>
                <c:pt idx="15">
                  <c:v>3.0716439339054526E-2</c:v>
                </c:pt>
                <c:pt idx="16">
                  <c:v>3.0716439339054526E-2</c:v>
                </c:pt>
                <c:pt idx="17">
                  <c:v>3.0716439339054526E-2</c:v>
                </c:pt>
                <c:pt idx="18">
                  <c:v>3.0819247863115254E-2</c:v>
                </c:pt>
                <c:pt idx="19">
                  <c:v>3.175333673886703E-2</c:v>
                </c:pt>
                <c:pt idx="20">
                  <c:v>3.1904612138556387E-2</c:v>
                </c:pt>
                <c:pt idx="21">
                  <c:v>3.2051481458643144E-2</c:v>
                </c:pt>
                <c:pt idx="22">
                  <c:v>3.3521643352711586E-2</c:v>
                </c:pt>
                <c:pt idx="23">
                  <c:v>3.425305256674363E-2</c:v>
                </c:pt>
                <c:pt idx="24">
                  <c:v>3.425305256674363E-2</c:v>
                </c:pt>
                <c:pt idx="25">
                  <c:v>3.4409468392636026E-2</c:v>
                </c:pt>
                <c:pt idx="26">
                  <c:v>3.4439576603253814E-2</c:v>
                </c:pt>
                <c:pt idx="27">
                  <c:v>3.4439576603253814E-2</c:v>
                </c:pt>
                <c:pt idx="28">
                  <c:v>3.4558540752524083E-2</c:v>
                </c:pt>
                <c:pt idx="29">
                  <c:v>3.4703941379409978E-2</c:v>
                </c:pt>
                <c:pt idx="30">
                  <c:v>3.4890465415920155E-2</c:v>
                </c:pt>
                <c:pt idx="31">
                  <c:v>3.5334010762582163E-2</c:v>
                </c:pt>
                <c:pt idx="32">
                  <c:v>3.5342822921787365E-2</c:v>
                </c:pt>
                <c:pt idx="33">
                  <c:v>3.5358978546996912E-2</c:v>
                </c:pt>
                <c:pt idx="34">
                  <c:v>3.5401570649822071E-2</c:v>
                </c:pt>
                <c:pt idx="35">
                  <c:v>3.545150621865157E-2</c:v>
                </c:pt>
                <c:pt idx="36">
                  <c:v>3.6175571966679282E-2</c:v>
                </c:pt>
                <c:pt idx="37">
                  <c:v>3.6200539751094024E-2</c:v>
                </c:pt>
                <c:pt idx="38">
                  <c:v>3.6746893621816767E-2</c:v>
                </c:pt>
                <c:pt idx="39">
                  <c:v>3.8075326622001485E-2</c:v>
                </c:pt>
                <c:pt idx="40">
                  <c:v>3.8155370401448764E-2</c:v>
                </c:pt>
                <c:pt idx="41">
                  <c:v>3.8219258555686503E-2</c:v>
                </c:pt>
                <c:pt idx="42">
                  <c:v>3.8497575917250906E-2</c:v>
                </c:pt>
                <c:pt idx="43">
                  <c:v>3.8512262849259585E-2</c:v>
                </c:pt>
                <c:pt idx="44">
                  <c:v>3.8513731542460447E-2</c:v>
                </c:pt>
                <c:pt idx="45">
                  <c:v>3.8535027593873034E-2</c:v>
                </c:pt>
                <c:pt idx="46">
                  <c:v>3.8622414839324645E-2</c:v>
                </c:pt>
                <c:pt idx="47">
                  <c:v>3.8622414839324645E-2</c:v>
                </c:pt>
                <c:pt idx="48">
                  <c:v>3.9078444078194031E-2</c:v>
                </c:pt>
                <c:pt idx="49">
                  <c:v>3.9549160249072082E-2</c:v>
                </c:pt>
                <c:pt idx="50">
                  <c:v>3.956164414127946E-2</c:v>
                </c:pt>
                <c:pt idx="51">
                  <c:v>3.956311283448033E-2</c:v>
                </c:pt>
                <c:pt idx="52">
                  <c:v>3.9834821076640825E-2</c:v>
                </c:pt>
                <c:pt idx="53">
                  <c:v>3.9882553605669023E-2</c:v>
                </c:pt>
                <c:pt idx="54">
                  <c:v>3.9960394345315009E-2</c:v>
                </c:pt>
                <c:pt idx="55">
                  <c:v>4.0340785884339703E-2</c:v>
                </c:pt>
                <c:pt idx="56">
                  <c:v>4.035473846974795E-2</c:v>
                </c:pt>
                <c:pt idx="57">
                  <c:v>4.0402470998776141E-2</c:v>
                </c:pt>
                <c:pt idx="58">
                  <c:v>4.0406142731778311E-2</c:v>
                </c:pt>
                <c:pt idx="59">
                  <c:v>4.0835735493032078E-2</c:v>
                </c:pt>
                <c:pt idx="60">
                  <c:v>4.1329216408523578E-2</c:v>
                </c:pt>
                <c:pt idx="61">
                  <c:v>4.2670133300915666E-2</c:v>
                </c:pt>
                <c:pt idx="62">
                  <c:v>4.2678945460120875E-2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42-40D4-8C1F-4350F6B5CD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0">
                  <c:v>0.13386799999716459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42-40D4-8C1F-4350F6B5C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83912"/>
        <c:axId val="1"/>
      </c:scatterChart>
      <c:valAx>
        <c:axId val="5635839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8800749079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3195592286501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583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36668040461884"/>
          <c:y val="0.92000129214617399"/>
          <c:w val="0.6625353029218454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MS Cas - O-C Diagr.</a:t>
            </a:r>
          </a:p>
        </c:rich>
      </c:tx>
      <c:layout>
        <c:manualLayout>
          <c:xMode val="edge"/>
          <c:yMode val="edge"/>
          <c:x val="0.39477332871217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9650680538251"/>
          <c:y val="0.14723926380368099"/>
          <c:w val="0.8308121123383448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D-4932-9B89-448953174B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1.4467499997408595E-2</c:v>
                </c:pt>
                <c:pt idx="1">
                  <c:v>-1.3384999998379499E-2</c:v>
                </c:pt>
                <c:pt idx="2">
                  <c:v>3.0293199997686315E-2</c:v>
                </c:pt>
                <c:pt idx="3">
                  <c:v>5.5745999998180196E-3</c:v>
                </c:pt>
                <c:pt idx="4">
                  <c:v>5.6116799998562783E-2</c:v>
                </c:pt>
                <c:pt idx="5">
                  <c:v>1.9983300000603776E-2</c:v>
                </c:pt>
                <c:pt idx="6">
                  <c:v>-8.4443999985523988E-3</c:v>
                </c:pt>
                <c:pt idx="7">
                  <c:v>-2.5204300000041258E-2</c:v>
                </c:pt>
                <c:pt idx="8">
                  <c:v>5.12449999951059E-3</c:v>
                </c:pt>
                <c:pt idx="9">
                  <c:v>1.650810000137426E-2</c:v>
                </c:pt>
                <c:pt idx="10">
                  <c:v>1.8937799999548588E-2</c:v>
                </c:pt>
                <c:pt idx="11">
                  <c:v>3.2665999970049597E-3</c:v>
                </c:pt>
                <c:pt idx="13">
                  <c:v>3.1000000002677552E-2</c:v>
                </c:pt>
                <c:pt idx="14">
                  <c:v>-1.5273600001819432E-2</c:v>
                </c:pt>
                <c:pt idx="15">
                  <c:v>3.3134700002847239E-2</c:v>
                </c:pt>
                <c:pt idx="16">
                  <c:v>4.6134700001857709E-2</c:v>
                </c:pt>
                <c:pt idx="17">
                  <c:v>4.7134699998423457E-2</c:v>
                </c:pt>
                <c:pt idx="18">
                  <c:v>2.3593699996126816E-2</c:v>
                </c:pt>
                <c:pt idx="19">
                  <c:v>2.9306899996299762E-2</c:v>
                </c:pt>
                <c:pt idx="21">
                  <c:v>3.2838000006449874E-2</c:v>
                </c:pt>
                <c:pt idx="47">
                  <c:v>3.9731800003210083E-2</c:v>
                </c:pt>
                <c:pt idx="52">
                  <c:v>3.9516149998235051E-2</c:v>
                </c:pt>
                <c:pt idx="53">
                  <c:v>3.8986399995337706E-2</c:v>
                </c:pt>
                <c:pt idx="59">
                  <c:v>4.2127699998673052E-2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D-4932-9B89-448953174B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22">
                  <c:v>2.6401700000860728E-2</c:v>
                </c:pt>
                <c:pt idx="28">
                  <c:v>3.1173900002613664E-2</c:v>
                </c:pt>
                <c:pt idx="30">
                  <c:v>3.4070099995005876E-2</c:v>
                </c:pt>
                <c:pt idx="31">
                  <c:v>3.5807500004011672E-2</c:v>
                </c:pt>
                <c:pt idx="32">
                  <c:v>3.4889700000348967E-2</c:v>
                </c:pt>
                <c:pt idx="39">
                  <c:v>3.3103550005762372E-2</c:v>
                </c:pt>
                <c:pt idx="40">
                  <c:v>3.8675199997669552E-2</c:v>
                </c:pt>
                <c:pt idx="41">
                  <c:v>3.9546150001115166E-2</c:v>
                </c:pt>
                <c:pt idx="42">
                  <c:v>3.7317299997084774E-2</c:v>
                </c:pt>
                <c:pt idx="43">
                  <c:v>3.6854300000413787E-2</c:v>
                </c:pt>
                <c:pt idx="44">
                  <c:v>3.8018000006559305E-2</c:v>
                </c:pt>
                <c:pt idx="45">
                  <c:v>4.1341650001413655E-2</c:v>
                </c:pt>
                <c:pt idx="48">
                  <c:v>4.1410650002944749E-2</c:v>
                </c:pt>
                <c:pt idx="49">
                  <c:v>3.9126499992562458E-2</c:v>
                </c:pt>
                <c:pt idx="50">
                  <c:v>4.2367949994513765E-2</c:v>
                </c:pt>
                <c:pt idx="51">
                  <c:v>4.2231650004396215E-2</c:v>
                </c:pt>
                <c:pt idx="55">
                  <c:v>4.106080000201473E-2</c:v>
                </c:pt>
                <c:pt idx="56">
                  <c:v>4.1765949994442053E-2</c:v>
                </c:pt>
                <c:pt idx="58">
                  <c:v>4.0695449992199428E-2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D-4932-9B89-448953174B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3.1924299997626804E-2</c:v>
                </c:pt>
                <c:pt idx="24">
                  <c:v>3.1924299997626804E-2</c:v>
                </c:pt>
                <c:pt idx="25">
                  <c:v>3.2108349994814489E-2</c:v>
                </c:pt>
                <c:pt idx="26">
                  <c:v>3.7714199999754783E-2</c:v>
                </c:pt>
                <c:pt idx="27">
                  <c:v>3.7714199999754783E-2</c:v>
                </c:pt>
                <c:pt idx="29">
                  <c:v>3.0880199999955948E-2</c:v>
                </c:pt>
                <c:pt idx="33">
                  <c:v>3.7290400003257673E-2</c:v>
                </c:pt>
                <c:pt idx="34">
                  <c:v>4.0237699999124743E-2</c:v>
                </c:pt>
                <c:pt idx="35">
                  <c:v>3.5703500005183741E-2</c:v>
                </c:pt>
                <c:pt idx="36">
                  <c:v>3.4807600008207373E-2</c:v>
                </c:pt>
                <c:pt idx="37">
                  <c:v>3.6030499992193654E-2</c:v>
                </c:pt>
                <c:pt idx="38">
                  <c:v>3.6086899999645539E-2</c:v>
                </c:pt>
                <c:pt idx="46">
                  <c:v>3.9731799908622634E-2</c:v>
                </c:pt>
                <c:pt idx="54">
                  <c:v>3.7562500001513399E-2</c:v>
                </c:pt>
                <c:pt idx="57">
                  <c:v>4.0936200006399304E-2</c:v>
                </c:pt>
                <c:pt idx="60">
                  <c:v>4.2230899998685345E-2</c:v>
                </c:pt>
                <c:pt idx="61">
                  <c:v>4.2389000002003741E-2</c:v>
                </c:pt>
                <c:pt idx="62">
                  <c:v>4.0871199998946395E-2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D-4932-9B89-448953174B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D-4932-9B89-448953174B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D-4932-9B89-448953174B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2.0999999999999999E-3</c:v>
                  </c:pt>
                  <c:pt idx="24">
                    <c:v>2.0999999999999999E-3</c:v>
                  </c:pt>
                  <c:pt idx="25">
                    <c:v>1.1999999999999999E-3</c:v>
                  </c:pt>
                  <c:pt idx="26">
                    <c:v>1.4E-3</c:v>
                  </c:pt>
                  <c:pt idx="27">
                    <c:v>1.4E-3</c:v>
                  </c:pt>
                  <c:pt idx="28">
                    <c:v>0</c:v>
                  </c:pt>
                  <c:pt idx="29">
                    <c:v>2.3999999999999998E-3</c:v>
                  </c:pt>
                  <c:pt idx="30">
                    <c:v>0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3.3999999999999998E-3</c:v>
                  </c:pt>
                  <c:pt idx="34">
                    <c:v>9.5999999999999992E-3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2.0999999999999999E-3</c:v>
                  </c:pt>
                  <c:pt idx="38">
                    <c:v>2.9999999999999997E-4</c:v>
                  </c:pt>
                  <c:pt idx="39">
                    <c:v>1.46E-2</c:v>
                  </c:pt>
                  <c:pt idx="40">
                    <c:v>8.9999999999999998E-4</c:v>
                  </c:pt>
                  <c:pt idx="41">
                    <c:v>2.0999999999999999E-3</c:v>
                  </c:pt>
                  <c:pt idx="42">
                    <c:v>1.6000000000000001E-3</c:v>
                  </c:pt>
                  <c:pt idx="43">
                    <c:v>3.5000000000000001E-3</c:v>
                  </c:pt>
                  <c:pt idx="44">
                    <c:v>6.9999999999999999E-4</c:v>
                  </c:pt>
                  <c:pt idx="45">
                    <c:v>3.2000000000000002E-3</c:v>
                  </c:pt>
                  <c:pt idx="46">
                    <c:v>5.9999999999999995E-4</c:v>
                  </c:pt>
                  <c:pt idx="47">
                    <c:v>0</c:v>
                  </c:pt>
                  <c:pt idx="48">
                    <c:v>2.0999999999999999E-3</c:v>
                  </c:pt>
                  <c:pt idx="49">
                    <c:v>2.9999999999999997E-4</c:v>
                  </c:pt>
                  <c:pt idx="50">
                    <c:v>1.9E-3</c:v>
                  </c:pt>
                  <c:pt idx="51">
                    <c:v>1.5E-3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2.9999999999999997E-4</c:v>
                  </c:pt>
                  <c:pt idx="55">
                    <c:v>3.3999999999999998E-3</c:v>
                  </c:pt>
                  <c:pt idx="56">
                    <c:v>2.8E-3</c:v>
                  </c:pt>
                  <c:pt idx="57">
                    <c:v>4.0000000000000002E-4</c:v>
                  </c:pt>
                  <c:pt idx="58">
                    <c:v>3.0999999999999999E-3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8.0000000000000004E-4</c:v>
                  </c:pt>
                  <c:pt idx="6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D-4932-9B89-448953174B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5.6664081050572662E-3</c:v>
                </c:pt>
                <c:pt idx="1">
                  <c:v>5.9234294152090902E-3</c:v>
                </c:pt>
                <c:pt idx="2">
                  <c:v>6.0497370304837018E-3</c:v>
                </c:pt>
                <c:pt idx="3">
                  <c:v>6.6695255612498148E-3</c:v>
                </c:pt>
                <c:pt idx="4">
                  <c:v>7.8532922811490758E-3</c:v>
                </c:pt>
                <c:pt idx="5">
                  <c:v>7.9193834751881166E-3</c:v>
                </c:pt>
                <c:pt idx="6">
                  <c:v>8.3291488782301672E-3</c:v>
                </c:pt>
                <c:pt idx="7">
                  <c:v>1.2401835124235937E-2</c:v>
                </c:pt>
                <c:pt idx="8">
                  <c:v>1.2437083761056759E-2</c:v>
                </c:pt>
                <c:pt idx="9">
                  <c:v>1.2478207170681051E-2</c:v>
                </c:pt>
                <c:pt idx="10">
                  <c:v>1.4212733840905651E-2</c:v>
                </c:pt>
                <c:pt idx="11">
                  <c:v>1.4247982477726472E-2</c:v>
                </c:pt>
                <c:pt idx="12">
                  <c:v>1.4809023280457884E-2</c:v>
                </c:pt>
                <c:pt idx="13">
                  <c:v>1.4809023280457884E-2</c:v>
                </c:pt>
                <c:pt idx="14">
                  <c:v>1.5208507831093862E-2</c:v>
                </c:pt>
                <c:pt idx="15">
                  <c:v>3.0716439339054526E-2</c:v>
                </c:pt>
                <c:pt idx="16">
                  <c:v>3.0716439339054526E-2</c:v>
                </c:pt>
                <c:pt idx="17">
                  <c:v>3.0716439339054526E-2</c:v>
                </c:pt>
                <c:pt idx="18">
                  <c:v>3.0819247863115254E-2</c:v>
                </c:pt>
                <c:pt idx="19">
                  <c:v>3.175333673886703E-2</c:v>
                </c:pt>
                <c:pt idx="20">
                  <c:v>3.1904612138556387E-2</c:v>
                </c:pt>
                <c:pt idx="21">
                  <c:v>3.2051481458643144E-2</c:v>
                </c:pt>
                <c:pt idx="22">
                  <c:v>3.3521643352711586E-2</c:v>
                </c:pt>
                <c:pt idx="23">
                  <c:v>3.425305256674363E-2</c:v>
                </c:pt>
                <c:pt idx="24">
                  <c:v>3.425305256674363E-2</c:v>
                </c:pt>
                <c:pt idx="25">
                  <c:v>3.4409468392636026E-2</c:v>
                </c:pt>
                <c:pt idx="26">
                  <c:v>3.4439576603253814E-2</c:v>
                </c:pt>
                <c:pt idx="27">
                  <c:v>3.4439576603253814E-2</c:v>
                </c:pt>
                <c:pt idx="28">
                  <c:v>3.4558540752524083E-2</c:v>
                </c:pt>
                <c:pt idx="29">
                  <c:v>3.4703941379409978E-2</c:v>
                </c:pt>
                <c:pt idx="30">
                  <c:v>3.4890465415920155E-2</c:v>
                </c:pt>
                <c:pt idx="31">
                  <c:v>3.5334010762582163E-2</c:v>
                </c:pt>
                <c:pt idx="32">
                  <c:v>3.5342822921787365E-2</c:v>
                </c:pt>
                <c:pt idx="33">
                  <c:v>3.5358978546996912E-2</c:v>
                </c:pt>
                <c:pt idx="34">
                  <c:v>3.5401570649822071E-2</c:v>
                </c:pt>
                <c:pt idx="35">
                  <c:v>3.545150621865157E-2</c:v>
                </c:pt>
                <c:pt idx="36">
                  <c:v>3.6175571966679282E-2</c:v>
                </c:pt>
                <c:pt idx="37">
                  <c:v>3.6200539751094024E-2</c:v>
                </c:pt>
                <c:pt idx="38">
                  <c:v>3.6746893621816767E-2</c:v>
                </c:pt>
                <c:pt idx="39">
                  <c:v>3.8075326622001485E-2</c:v>
                </c:pt>
                <c:pt idx="40">
                  <c:v>3.8155370401448764E-2</c:v>
                </c:pt>
                <c:pt idx="41">
                  <c:v>3.8219258555686503E-2</c:v>
                </c:pt>
                <c:pt idx="42">
                  <c:v>3.8497575917250906E-2</c:v>
                </c:pt>
                <c:pt idx="43">
                  <c:v>3.8512262849259585E-2</c:v>
                </c:pt>
                <c:pt idx="44">
                  <c:v>3.8513731542460447E-2</c:v>
                </c:pt>
                <c:pt idx="45">
                  <c:v>3.8535027593873034E-2</c:v>
                </c:pt>
                <c:pt idx="46">
                  <c:v>3.8622414839324645E-2</c:v>
                </c:pt>
                <c:pt idx="47">
                  <c:v>3.8622414839324645E-2</c:v>
                </c:pt>
                <c:pt idx="48">
                  <c:v>3.9078444078194031E-2</c:v>
                </c:pt>
                <c:pt idx="49">
                  <c:v>3.9549160249072082E-2</c:v>
                </c:pt>
                <c:pt idx="50">
                  <c:v>3.956164414127946E-2</c:v>
                </c:pt>
                <c:pt idx="51">
                  <c:v>3.956311283448033E-2</c:v>
                </c:pt>
                <c:pt idx="52">
                  <c:v>3.9834821076640825E-2</c:v>
                </c:pt>
                <c:pt idx="53">
                  <c:v>3.9882553605669023E-2</c:v>
                </c:pt>
                <c:pt idx="54">
                  <c:v>3.9960394345315009E-2</c:v>
                </c:pt>
                <c:pt idx="55">
                  <c:v>4.0340785884339703E-2</c:v>
                </c:pt>
                <c:pt idx="56">
                  <c:v>4.035473846974795E-2</c:v>
                </c:pt>
                <c:pt idx="57">
                  <c:v>4.0402470998776141E-2</c:v>
                </c:pt>
                <c:pt idx="58">
                  <c:v>4.0406142731778311E-2</c:v>
                </c:pt>
                <c:pt idx="59">
                  <c:v>4.0835735493032078E-2</c:v>
                </c:pt>
                <c:pt idx="60">
                  <c:v>4.1329216408523578E-2</c:v>
                </c:pt>
                <c:pt idx="61">
                  <c:v>4.2670133300915666E-2</c:v>
                </c:pt>
                <c:pt idx="62">
                  <c:v>4.2678945460120875E-2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D-4932-9B89-448953174B8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-6225</c:v>
                </c:pt>
                <c:pt idx="1">
                  <c:v>-6050</c:v>
                </c:pt>
                <c:pt idx="2">
                  <c:v>-5964</c:v>
                </c:pt>
                <c:pt idx="3">
                  <c:v>-5542</c:v>
                </c:pt>
                <c:pt idx="4">
                  <c:v>-4736</c:v>
                </c:pt>
                <c:pt idx="5">
                  <c:v>-4691</c:v>
                </c:pt>
                <c:pt idx="6">
                  <c:v>-4412</c:v>
                </c:pt>
                <c:pt idx="7">
                  <c:v>-1639</c:v>
                </c:pt>
                <c:pt idx="8">
                  <c:v>-1615</c:v>
                </c:pt>
                <c:pt idx="9">
                  <c:v>-1587</c:v>
                </c:pt>
                <c:pt idx="10">
                  <c:v>-406</c:v>
                </c:pt>
                <c:pt idx="11">
                  <c:v>-382</c:v>
                </c:pt>
                <c:pt idx="12">
                  <c:v>0</c:v>
                </c:pt>
                <c:pt idx="13">
                  <c:v>0</c:v>
                </c:pt>
                <c:pt idx="14">
                  <c:v>272</c:v>
                </c:pt>
                <c:pt idx="15">
                  <c:v>10831</c:v>
                </c:pt>
                <c:pt idx="16">
                  <c:v>10831</c:v>
                </c:pt>
                <c:pt idx="17">
                  <c:v>10831</c:v>
                </c:pt>
                <c:pt idx="18">
                  <c:v>10901</c:v>
                </c:pt>
                <c:pt idx="19">
                  <c:v>11537</c:v>
                </c:pt>
                <c:pt idx="20">
                  <c:v>11640</c:v>
                </c:pt>
                <c:pt idx="21">
                  <c:v>11740</c:v>
                </c:pt>
                <c:pt idx="22">
                  <c:v>12741</c:v>
                </c:pt>
                <c:pt idx="23">
                  <c:v>13239</c:v>
                </c:pt>
                <c:pt idx="24">
                  <c:v>13239</c:v>
                </c:pt>
                <c:pt idx="25">
                  <c:v>13345.5</c:v>
                </c:pt>
                <c:pt idx="26">
                  <c:v>13366</c:v>
                </c:pt>
                <c:pt idx="27">
                  <c:v>13366</c:v>
                </c:pt>
                <c:pt idx="28">
                  <c:v>13447</c:v>
                </c:pt>
                <c:pt idx="29">
                  <c:v>13546</c:v>
                </c:pt>
                <c:pt idx="30">
                  <c:v>13673</c:v>
                </c:pt>
                <c:pt idx="31">
                  <c:v>13975</c:v>
                </c:pt>
                <c:pt idx="32">
                  <c:v>13981</c:v>
                </c:pt>
                <c:pt idx="33">
                  <c:v>13992</c:v>
                </c:pt>
                <c:pt idx="34">
                  <c:v>14021</c:v>
                </c:pt>
                <c:pt idx="35">
                  <c:v>14055</c:v>
                </c:pt>
                <c:pt idx="36">
                  <c:v>14548</c:v>
                </c:pt>
                <c:pt idx="37">
                  <c:v>14565</c:v>
                </c:pt>
                <c:pt idx="38">
                  <c:v>14937</c:v>
                </c:pt>
                <c:pt idx="39">
                  <c:v>15841.5</c:v>
                </c:pt>
                <c:pt idx="40">
                  <c:v>15896</c:v>
                </c:pt>
                <c:pt idx="41">
                  <c:v>15939.5</c:v>
                </c:pt>
                <c:pt idx="42">
                  <c:v>16129</c:v>
                </c:pt>
                <c:pt idx="43">
                  <c:v>16139</c:v>
                </c:pt>
                <c:pt idx="44">
                  <c:v>16140</c:v>
                </c:pt>
                <c:pt idx="45">
                  <c:v>16154.5</c:v>
                </c:pt>
                <c:pt idx="46">
                  <c:v>16214</c:v>
                </c:pt>
                <c:pt idx="47">
                  <c:v>16214</c:v>
                </c:pt>
                <c:pt idx="48">
                  <c:v>16524.5</c:v>
                </c:pt>
                <c:pt idx="49">
                  <c:v>16845</c:v>
                </c:pt>
                <c:pt idx="50">
                  <c:v>16853.5</c:v>
                </c:pt>
                <c:pt idx="51">
                  <c:v>16854.5</c:v>
                </c:pt>
                <c:pt idx="52">
                  <c:v>17039.5</c:v>
                </c:pt>
                <c:pt idx="53">
                  <c:v>17072</c:v>
                </c:pt>
                <c:pt idx="54">
                  <c:v>17125</c:v>
                </c:pt>
                <c:pt idx="55">
                  <c:v>17384</c:v>
                </c:pt>
                <c:pt idx="56">
                  <c:v>17393.5</c:v>
                </c:pt>
                <c:pt idx="57">
                  <c:v>17426</c:v>
                </c:pt>
                <c:pt idx="58">
                  <c:v>17428.5</c:v>
                </c:pt>
                <c:pt idx="59">
                  <c:v>17721</c:v>
                </c:pt>
                <c:pt idx="60">
                  <c:v>18057</c:v>
                </c:pt>
                <c:pt idx="61">
                  <c:v>18970</c:v>
                </c:pt>
                <c:pt idx="62">
                  <c:v>18976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0">
                  <c:v>0.13386799999716459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5D-4932-9B89-448953174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587872"/>
        <c:axId val="1"/>
      </c:scatterChart>
      <c:valAx>
        <c:axId val="56358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962998263455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767537826685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358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45406463119207"/>
          <c:y val="0.92024539877300615"/>
          <c:w val="0.661623541899078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104775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DF52ABC-1E84-4987-A291-866309521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27</xdr:col>
      <xdr:colOff>9525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42AF08F-625C-7BF8-4916-FC07C0527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4888" TargetMode="External"/><Relationship Id="rId21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konkoly.hu/cgi-bin/IBVS?5263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bav-astro.de/sfs/BAVM_link.php?BAVMnr=201" TargetMode="External"/><Relationship Id="rId20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www.konkoly.hu/cgi-bin/IBVS?5920" TargetMode="External"/><Relationship Id="rId27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25</v>
      </c>
      <c r="B2" s="15" t="s">
        <v>38</v>
      </c>
    </row>
    <row r="4" spans="1:6" ht="14.25" thickTop="1" thickBot="1">
      <c r="A4" s="6" t="s">
        <v>1</v>
      </c>
      <c r="C4" s="3">
        <v>35075.519</v>
      </c>
      <c r="D4" s="4">
        <v>1.1727363</v>
      </c>
    </row>
    <row r="5" spans="1:6" ht="13.5" thickTop="1">
      <c r="A5" s="22" t="s">
        <v>42</v>
      </c>
      <c r="B5" s="16"/>
      <c r="C5" s="23">
        <v>-9.5</v>
      </c>
      <c r="D5" s="16" t="s">
        <v>43</v>
      </c>
    </row>
    <row r="6" spans="1:6">
      <c r="A6" s="6" t="s">
        <v>2</v>
      </c>
      <c r="C6" s="14">
        <v>2.3152680000000001</v>
      </c>
      <c r="D6" s="10" t="s">
        <v>33</v>
      </c>
    </row>
    <row r="7" spans="1:6">
      <c r="A7" t="s">
        <v>3</v>
      </c>
      <c r="C7" s="13">
        <f>+C4</f>
        <v>35075.519</v>
      </c>
    </row>
    <row r="8" spans="1:6">
      <c r="A8" t="s">
        <v>4</v>
      </c>
      <c r="C8" s="13">
        <v>1.1727363</v>
      </c>
    </row>
    <row r="9" spans="1:6">
      <c r="A9" s="36" t="s">
        <v>49</v>
      </c>
      <c r="B9" s="37">
        <v>21</v>
      </c>
      <c r="C9" s="25" t="str">
        <f>"F"&amp;B9</f>
        <v>F21</v>
      </c>
      <c r="D9" s="26" t="str">
        <f>"G"&amp;B9</f>
        <v>G21</v>
      </c>
    </row>
    <row r="10" spans="1:6" ht="13.5" thickBot="1">
      <c r="A10" s="16"/>
      <c r="B10" s="16"/>
      <c r="C10" s="5" t="s">
        <v>21</v>
      </c>
      <c r="D10" s="5" t="s">
        <v>22</v>
      </c>
      <c r="E10" s="16"/>
    </row>
    <row r="11" spans="1:6">
      <c r="A11" s="16" t="s">
        <v>17</v>
      </c>
      <c r="B11" s="16"/>
      <c r="C11" s="24">
        <f ca="1">INTERCEPT(INDIRECT($D$9):G990,INDIRECT($C$9):F990)</f>
        <v>1.4809023280457884E-2</v>
      </c>
      <c r="D11" s="18"/>
      <c r="E11" s="16"/>
    </row>
    <row r="12" spans="1:6">
      <c r="A12" s="16" t="s">
        <v>18</v>
      </c>
      <c r="B12" s="16"/>
      <c r="C12" s="24">
        <f ca="1">SLOPE(INDIRECT($D$9):G990,INDIRECT($C$9):F990)</f>
        <v>1.4686932008675692E-6</v>
      </c>
      <c r="D12" s="18"/>
      <c r="E12" s="16"/>
    </row>
    <row r="13" spans="1:6">
      <c r="A13" s="16" t="s">
        <v>20</v>
      </c>
      <c r="B13" s="16"/>
      <c r="C13" s="18" t="s">
        <v>15</v>
      </c>
    </row>
    <row r="14" spans="1:6">
      <c r="A14" s="16"/>
      <c r="B14" s="16"/>
      <c r="C14" s="16"/>
    </row>
    <row r="15" spans="1:6">
      <c r="A15" s="27" t="s">
        <v>19</v>
      </c>
      <c r="B15" s="16"/>
      <c r="C15" s="28">
        <f ca="1">(C7+C11)+(C8+C12)*INT(MAX(F21:F3531))</f>
        <v>57329.405707745464</v>
      </c>
      <c r="E15" s="29" t="s">
        <v>54</v>
      </c>
      <c r="F15" s="23">
        <v>1</v>
      </c>
    </row>
    <row r="16" spans="1:6">
      <c r="A16" s="31" t="s">
        <v>5</v>
      </c>
      <c r="B16" s="16"/>
      <c r="C16" s="32">
        <f ca="1">+C8+C12</f>
        <v>1.1727377686932008</v>
      </c>
      <c r="E16" s="29" t="s">
        <v>44</v>
      </c>
      <c r="F16" s="30">
        <f ca="1">NOW()+15018.5+$C$5/24</f>
        <v>60328.753672916668</v>
      </c>
    </row>
    <row r="17" spans="1:21" ht="13.5" thickBot="1">
      <c r="A17" s="29" t="s">
        <v>39</v>
      </c>
      <c r="B17" s="16"/>
      <c r="C17" s="16">
        <f>COUNT(C21:C2189)</f>
        <v>63</v>
      </c>
      <c r="E17" s="29" t="s">
        <v>55</v>
      </c>
      <c r="F17" s="30">
        <f ca="1">ROUND(2*(F16-$C$7)/$C$8,0)/2+F15</f>
        <v>21534.5</v>
      </c>
    </row>
    <row r="18" spans="1:21" ht="14.25" thickTop="1" thickBot="1">
      <c r="A18" s="31" t="s">
        <v>6</v>
      </c>
      <c r="B18" s="16"/>
      <c r="C18" s="34">
        <f ca="1">+C15</f>
        <v>57329.405707745464</v>
      </c>
      <c r="D18" s="35">
        <f ca="1">+C16</f>
        <v>1.1727377686932008</v>
      </c>
      <c r="E18" s="29" t="s">
        <v>45</v>
      </c>
      <c r="F18" s="26">
        <f ca="1">ROUND(2*(F16-$C$15)/$C$16,0)/2+F15</f>
        <v>2558.5</v>
      </c>
    </row>
    <row r="19" spans="1:21" ht="13.5" thickTop="1">
      <c r="E19" s="29" t="s">
        <v>46</v>
      </c>
      <c r="F19" s="33">
        <f ca="1">+$C$15+$C$16*F18-15018.5-$C$5/24</f>
        <v>45311.751122280351</v>
      </c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67</v>
      </c>
      <c r="I20" s="8" t="s">
        <v>70</v>
      </c>
      <c r="J20" s="8" t="s">
        <v>64</v>
      </c>
      <c r="K20" s="8" t="s">
        <v>62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70" t="s">
        <v>306</v>
      </c>
    </row>
    <row r="21" spans="1:21">
      <c r="A21" s="68" t="s">
        <v>77</v>
      </c>
      <c r="B21" s="69" t="s">
        <v>34</v>
      </c>
      <c r="C21" s="68">
        <v>27775.25</v>
      </c>
      <c r="D21" s="68" t="s">
        <v>70</v>
      </c>
      <c r="E21">
        <f t="shared" ref="E21:E52" si="0">+(C21-C$7)/C$8</f>
        <v>-6224.9876634670563</v>
      </c>
      <c r="F21">
        <f t="shared" ref="F21:F52" si="1">ROUND(2*E21,0)/2</f>
        <v>-6225</v>
      </c>
      <c r="G21">
        <f t="shared" ref="G21:G40" si="2">+C21-(C$7+F21*C$8)</f>
        <v>1.4467499997408595E-2</v>
      </c>
      <c r="I21">
        <f t="shared" ref="I21:I32" si="3">+G21</f>
        <v>1.4467499997408595E-2</v>
      </c>
      <c r="O21">
        <f t="shared" ref="O21:O52" ca="1" si="4">+C$11+C$12*F21</f>
        <v>5.6664081050572662E-3</v>
      </c>
      <c r="Q21" s="2">
        <f t="shared" ref="Q21:Q52" si="5">+C21-15018.5</f>
        <v>12756.75</v>
      </c>
    </row>
    <row r="22" spans="1:21">
      <c r="A22" s="68" t="s">
        <v>82</v>
      </c>
      <c r="B22" s="69" t="s">
        <v>34</v>
      </c>
      <c r="C22" s="68">
        <v>27980.451000000001</v>
      </c>
      <c r="D22" s="68" t="s">
        <v>70</v>
      </c>
      <c r="E22">
        <f t="shared" si="0"/>
        <v>-6050.0114134780342</v>
      </c>
      <c r="F22">
        <f t="shared" si="1"/>
        <v>-6050</v>
      </c>
      <c r="G22">
        <f t="shared" si="2"/>
        <v>-1.3384999998379499E-2</v>
      </c>
      <c r="I22">
        <f t="shared" si="3"/>
        <v>-1.3384999998379499E-2</v>
      </c>
      <c r="O22">
        <f t="shared" ca="1" si="4"/>
        <v>5.9234294152090902E-3</v>
      </c>
      <c r="Q22" s="2">
        <f t="shared" si="5"/>
        <v>12961.951000000001</v>
      </c>
    </row>
    <row r="23" spans="1:21">
      <c r="A23" s="68" t="s">
        <v>77</v>
      </c>
      <c r="B23" s="69" t="s">
        <v>34</v>
      </c>
      <c r="C23" s="68">
        <v>28081.35</v>
      </c>
      <c r="D23" s="68" t="s">
        <v>70</v>
      </c>
      <c r="E23">
        <f t="shared" si="0"/>
        <v>-5963.9741687879896</v>
      </c>
      <c r="F23">
        <f t="shared" si="1"/>
        <v>-5964</v>
      </c>
      <c r="G23">
        <f t="shared" si="2"/>
        <v>3.0293199997686315E-2</v>
      </c>
      <c r="I23">
        <f t="shared" si="3"/>
        <v>3.0293199997686315E-2</v>
      </c>
      <c r="O23">
        <f t="shared" ca="1" si="4"/>
        <v>6.0497370304837018E-3</v>
      </c>
      <c r="Q23" s="2">
        <f t="shared" si="5"/>
        <v>13062.849999999999</v>
      </c>
    </row>
    <row r="24" spans="1:21">
      <c r="A24" s="68" t="s">
        <v>77</v>
      </c>
      <c r="B24" s="69" t="s">
        <v>34</v>
      </c>
      <c r="C24" s="68">
        <v>28576.22</v>
      </c>
      <c r="D24" s="68" t="s">
        <v>70</v>
      </c>
      <c r="E24">
        <f t="shared" si="0"/>
        <v>-5541.9952465017068</v>
      </c>
      <c r="F24">
        <f t="shared" si="1"/>
        <v>-5542</v>
      </c>
      <c r="G24">
        <f t="shared" si="2"/>
        <v>5.5745999998180196E-3</v>
      </c>
      <c r="I24">
        <f t="shared" si="3"/>
        <v>5.5745999998180196E-3</v>
      </c>
      <c r="O24">
        <f t="shared" ca="1" si="4"/>
        <v>6.6695255612498148E-3</v>
      </c>
      <c r="Q24" s="2">
        <f t="shared" si="5"/>
        <v>13557.720000000001</v>
      </c>
    </row>
    <row r="25" spans="1:21">
      <c r="A25" s="68" t="s">
        <v>92</v>
      </c>
      <c r="B25" s="69" t="s">
        <v>34</v>
      </c>
      <c r="C25" s="68">
        <v>29521.495999999999</v>
      </c>
      <c r="D25" s="68" t="s">
        <v>70</v>
      </c>
      <c r="E25">
        <f t="shared" si="0"/>
        <v>-4735.9521488334603</v>
      </c>
      <c r="F25">
        <f t="shared" si="1"/>
        <v>-4736</v>
      </c>
      <c r="G25">
        <f t="shared" si="2"/>
        <v>5.6116799998562783E-2</v>
      </c>
      <c r="I25">
        <f t="shared" si="3"/>
        <v>5.6116799998562783E-2</v>
      </c>
      <c r="O25">
        <f t="shared" ca="1" si="4"/>
        <v>7.8532922811490758E-3</v>
      </c>
      <c r="Q25" s="2">
        <f t="shared" si="5"/>
        <v>14502.995999999999</v>
      </c>
    </row>
    <row r="26" spans="1:21">
      <c r="A26" s="68" t="s">
        <v>82</v>
      </c>
      <c r="B26" s="69" t="s">
        <v>34</v>
      </c>
      <c r="C26" s="68">
        <v>29574.233</v>
      </c>
      <c r="D26" s="68" t="s">
        <v>70</v>
      </c>
      <c r="E26">
        <f t="shared" si="0"/>
        <v>-4690.9829601079118</v>
      </c>
      <c r="F26">
        <f t="shared" si="1"/>
        <v>-4691</v>
      </c>
      <c r="G26">
        <f t="shared" si="2"/>
        <v>1.9983300000603776E-2</v>
      </c>
      <c r="I26">
        <f t="shared" si="3"/>
        <v>1.9983300000603776E-2</v>
      </c>
      <c r="O26">
        <f t="shared" ca="1" si="4"/>
        <v>7.9193834751881166E-3</v>
      </c>
      <c r="Q26" s="2">
        <f t="shared" si="5"/>
        <v>14555.733</v>
      </c>
    </row>
    <row r="27" spans="1:21">
      <c r="A27" s="68" t="s">
        <v>82</v>
      </c>
      <c r="B27" s="69" t="s">
        <v>34</v>
      </c>
      <c r="C27" s="68">
        <v>29901.398000000001</v>
      </c>
      <c r="D27" s="68" t="s">
        <v>70</v>
      </c>
      <c r="E27">
        <f t="shared" si="0"/>
        <v>-4412.0072005957345</v>
      </c>
      <c r="F27">
        <f t="shared" si="1"/>
        <v>-4412</v>
      </c>
      <c r="G27">
        <f t="shared" si="2"/>
        <v>-8.4443999985523988E-3</v>
      </c>
      <c r="I27">
        <f t="shared" si="3"/>
        <v>-8.4443999985523988E-3</v>
      </c>
      <c r="O27">
        <f t="shared" ca="1" si="4"/>
        <v>8.3291488782301672E-3</v>
      </c>
      <c r="Q27" s="2">
        <f t="shared" si="5"/>
        <v>14882.898000000001</v>
      </c>
    </row>
    <row r="28" spans="1:21">
      <c r="A28" s="68" t="s">
        <v>92</v>
      </c>
      <c r="B28" s="69" t="s">
        <v>34</v>
      </c>
      <c r="C28" s="68">
        <v>33153.379000000001</v>
      </c>
      <c r="D28" s="68" t="s">
        <v>70</v>
      </c>
      <c r="E28">
        <f t="shared" si="0"/>
        <v>-1639.0214918733218</v>
      </c>
      <c r="F28">
        <f t="shared" si="1"/>
        <v>-1639</v>
      </c>
      <c r="G28">
        <f t="shared" si="2"/>
        <v>-2.5204300000041258E-2</v>
      </c>
      <c r="I28">
        <f t="shared" si="3"/>
        <v>-2.5204300000041258E-2</v>
      </c>
      <c r="O28">
        <f t="shared" ca="1" si="4"/>
        <v>1.2401835124235937E-2</v>
      </c>
      <c r="Q28" s="2">
        <f t="shared" si="5"/>
        <v>18134.879000000001</v>
      </c>
    </row>
    <row r="29" spans="1:21">
      <c r="A29" s="68" t="s">
        <v>92</v>
      </c>
      <c r="B29" s="69" t="s">
        <v>34</v>
      </c>
      <c r="C29" s="68">
        <v>33181.555</v>
      </c>
      <c r="D29" s="68" t="s">
        <v>70</v>
      </c>
      <c r="E29">
        <f t="shared" si="0"/>
        <v>-1614.9956303049544</v>
      </c>
      <c r="F29">
        <f t="shared" si="1"/>
        <v>-1615</v>
      </c>
      <c r="G29">
        <f t="shared" si="2"/>
        <v>5.12449999951059E-3</v>
      </c>
      <c r="I29">
        <f t="shared" si="3"/>
        <v>5.12449999951059E-3</v>
      </c>
      <c r="O29">
        <f t="shared" ca="1" si="4"/>
        <v>1.2437083761056759E-2</v>
      </c>
      <c r="Q29" s="2">
        <f t="shared" si="5"/>
        <v>18163.055</v>
      </c>
    </row>
    <row r="30" spans="1:21">
      <c r="A30" s="68" t="s">
        <v>92</v>
      </c>
      <c r="B30" s="69" t="s">
        <v>34</v>
      </c>
      <c r="C30" s="68">
        <v>33214.402999999998</v>
      </c>
      <c r="D30" s="68" t="s">
        <v>70</v>
      </c>
      <c r="E30">
        <f t="shared" si="0"/>
        <v>-1586.9859234339399</v>
      </c>
      <c r="F30">
        <f t="shared" si="1"/>
        <v>-1587</v>
      </c>
      <c r="G30">
        <f t="shared" si="2"/>
        <v>1.650810000137426E-2</v>
      </c>
      <c r="I30">
        <f t="shared" si="3"/>
        <v>1.650810000137426E-2</v>
      </c>
      <c r="O30">
        <f t="shared" ca="1" si="4"/>
        <v>1.2478207170681051E-2</v>
      </c>
      <c r="Q30" s="2">
        <f t="shared" si="5"/>
        <v>18195.902999999998</v>
      </c>
    </row>
    <row r="31" spans="1:21">
      <c r="A31" s="68" t="s">
        <v>82</v>
      </c>
      <c r="B31" s="69" t="s">
        <v>34</v>
      </c>
      <c r="C31" s="68">
        <v>34599.406999999999</v>
      </c>
      <c r="D31" s="68" t="s">
        <v>70</v>
      </c>
      <c r="E31">
        <f t="shared" si="0"/>
        <v>-405.983851612678</v>
      </c>
      <c r="F31">
        <f t="shared" si="1"/>
        <v>-406</v>
      </c>
      <c r="G31">
        <f t="shared" si="2"/>
        <v>1.8937799999548588E-2</v>
      </c>
      <c r="I31">
        <f t="shared" si="3"/>
        <v>1.8937799999548588E-2</v>
      </c>
      <c r="O31">
        <f t="shared" ca="1" si="4"/>
        <v>1.4212733840905651E-2</v>
      </c>
      <c r="Q31" s="2">
        <f t="shared" si="5"/>
        <v>19580.906999999999</v>
      </c>
    </row>
    <row r="32" spans="1:21">
      <c r="A32" s="68" t="s">
        <v>82</v>
      </c>
      <c r="B32" s="69" t="s">
        <v>34</v>
      </c>
      <c r="C32" s="68">
        <v>34627.536999999997</v>
      </c>
      <c r="D32" s="68" t="s">
        <v>70</v>
      </c>
      <c r="E32">
        <f t="shared" si="0"/>
        <v>-381.99721454857638</v>
      </c>
      <c r="F32">
        <f t="shared" si="1"/>
        <v>-382</v>
      </c>
      <c r="G32">
        <f t="shared" si="2"/>
        <v>3.2665999970049597E-3</v>
      </c>
      <c r="I32">
        <f t="shared" si="3"/>
        <v>3.2665999970049597E-3</v>
      </c>
      <c r="O32">
        <f t="shared" ca="1" si="4"/>
        <v>1.4247982477726472E-2</v>
      </c>
      <c r="Q32" s="2">
        <f t="shared" si="5"/>
        <v>19609.036999999997</v>
      </c>
    </row>
    <row r="33" spans="1:31">
      <c r="A33" t="s">
        <v>13</v>
      </c>
      <c r="C33" s="12">
        <v>35075.519</v>
      </c>
      <c r="D33" s="12" t="s">
        <v>15</v>
      </c>
      <c r="E33">
        <f t="shared" si="0"/>
        <v>0</v>
      </c>
      <c r="F33">
        <f t="shared" si="1"/>
        <v>0</v>
      </c>
      <c r="G33">
        <f t="shared" si="2"/>
        <v>0</v>
      </c>
      <c r="H33">
        <f>+G33</f>
        <v>0</v>
      </c>
      <c r="O33">
        <f t="shared" ca="1" si="4"/>
        <v>1.4809023280457884E-2</v>
      </c>
      <c r="Q33" s="2">
        <f t="shared" si="5"/>
        <v>20057.019</v>
      </c>
    </row>
    <row r="34" spans="1:31">
      <c r="A34" s="68" t="s">
        <v>92</v>
      </c>
      <c r="B34" s="69" t="s">
        <v>34</v>
      </c>
      <c r="C34" s="68">
        <v>35075.550000000003</v>
      </c>
      <c r="D34" s="68" t="s">
        <v>70</v>
      </c>
      <c r="E34">
        <f t="shared" si="0"/>
        <v>2.6433905049820284E-2</v>
      </c>
      <c r="F34">
        <f t="shared" si="1"/>
        <v>0</v>
      </c>
      <c r="G34">
        <f t="shared" si="2"/>
        <v>3.1000000002677552E-2</v>
      </c>
      <c r="I34">
        <f t="shared" ref="I34:I40" si="6">+G34</f>
        <v>3.1000000002677552E-2</v>
      </c>
      <c r="O34">
        <f t="shared" ca="1" si="4"/>
        <v>1.4809023280457884E-2</v>
      </c>
      <c r="Q34" s="2">
        <f t="shared" si="5"/>
        <v>20057.050000000003</v>
      </c>
    </row>
    <row r="35" spans="1:31">
      <c r="A35" s="68" t="s">
        <v>92</v>
      </c>
      <c r="B35" s="69" t="s">
        <v>34</v>
      </c>
      <c r="C35" s="68">
        <v>35394.487999999998</v>
      </c>
      <c r="D35" s="68" t="s">
        <v>70</v>
      </c>
      <c r="E35">
        <f t="shared" si="0"/>
        <v>271.98697610025147</v>
      </c>
      <c r="F35">
        <f t="shared" si="1"/>
        <v>272</v>
      </c>
      <c r="G35">
        <f t="shared" si="2"/>
        <v>-1.5273600001819432E-2</v>
      </c>
      <c r="I35">
        <f t="shared" si="6"/>
        <v>-1.5273600001819432E-2</v>
      </c>
      <c r="O35">
        <f t="shared" ca="1" si="4"/>
        <v>1.5208507831093862E-2</v>
      </c>
      <c r="Q35" s="2">
        <f t="shared" si="5"/>
        <v>20375.987999999998</v>
      </c>
    </row>
    <row r="36" spans="1:31">
      <c r="A36" s="68" t="s">
        <v>126</v>
      </c>
      <c r="B36" s="69" t="s">
        <v>32</v>
      </c>
      <c r="C36" s="68">
        <v>47777.459000000003</v>
      </c>
      <c r="D36" s="68" t="s">
        <v>70</v>
      </c>
      <c r="E36">
        <f t="shared" si="0"/>
        <v>10831.02825417786</v>
      </c>
      <c r="F36">
        <f t="shared" si="1"/>
        <v>10831</v>
      </c>
      <c r="G36">
        <f t="shared" si="2"/>
        <v>3.3134700002847239E-2</v>
      </c>
      <c r="I36">
        <f t="shared" si="6"/>
        <v>3.3134700002847239E-2</v>
      </c>
      <c r="O36">
        <f t="shared" ca="1" si="4"/>
        <v>3.0716439339054526E-2</v>
      </c>
      <c r="Q36" s="2">
        <f t="shared" si="5"/>
        <v>32758.959000000003</v>
      </c>
    </row>
    <row r="37" spans="1:31">
      <c r="A37" s="68" t="s">
        <v>126</v>
      </c>
      <c r="B37" s="69" t="s">
        <v>32</v>
      </c>
      <c r="C37" s="68">
        <v>47777.472000000002</v>
      </c>
      <c r="D37" s="68" t="s">
        <v>70</v>
      </c>
      <c r="E37">
        <f t="shared" si="0"/>
        <v>10831.039339363846</v>
      </c>
      <c r="F37">
        <f t="shared" si="1"/>
        <v>10831</v>
      </c>
      <c r="G37">
        <f t="shared" si="2"/>
        <v>4.6134700001857709E-2</v>
      </c>
      <c r="I37">
        <f t="shared" si="6"/>
        <v>4.6134700001857709E-2</v>
      </c>
      <c r="O37">
        <f t="shared" ca="1" si="4"/>
        <v>3.0716439339054526E-2</v>
      </c>
      <c r="Q37" s="2">
        <f t="shared" si="5"/>
        <v>32758.972000000002</v>
      </c>
    </row>
    <row r="38" spans="1:31">
      <c r="A38" s="68" t="s">
        <v>126</v>
      </c>
      <c r="B38" s="69" t="s">
        <v>32</v>
      </c>
      <c r="C38" s="68">
        <v>47777.472999999998</v>
      </c>
      <c r="D38" s="68" t="s">
        <v>70</v>
      </c>
      <c r="E38">
        <f t="shared" si="0"/>
        <v>10831.040192070459</v>
      </c>
      <c r="F38">
        <f t="shared" si="1"/>
        <v>10831</v>
      </c>
      <c r="G38">
        <f t="shared" si="2"/>
        <v>4.7134699998423457E-2</v>
      </c>
      <c r="I38">
        <f t="shared" si="6"/>
        <v>4.7134699998423457E-2</v>
      </c>
      <c r="O38">
        <f t="shared" ca="1" si="4"/>
        <v>3.0716439339054526E-2</v>
      </c>
      <c r="Q38" s="2">
        <f t="shared" si="5"/>
        <v>32758.972999999998</v>
      </c>
    </row>
    <row r="39" spans="1:31">
      <c r="A39" s="68" t="s">
        <v>126</v>
      </c>
      <c r="B39" s="69" t="s">
        <v>32</v>
      </c>
      <c r="C39" s="68">
        <v>47859.540999999997</v>
      </c>
      <c r="D39" s="68" t="s">
        <v>70</v>
      </c>
      <c r="E39">
        <f t="shared" si="0"/>
        <v>10901.020118504048</v>
      </c>
      <c r="F39">
        <f t="shared" si="1"/>
        <v>10901</v>
      </c>
      <c r="G39">
        <f t="shared" si="2"/>
        <v>2.3593699996126816E-2</v>
      </c>
      <c r="I39">
        <f t="shared" si="6"/>
        <v>2.3593699996126816E-2</v>
      </c>
      <c r="O39">
        <f t="shared" ca="1" si="4"/>
        <v>3.0819247863115254E-2</v>
      </c>
      <c r="Q39" s="2">
        <f t="shared" si="5"/>
        <v>32841.040999999997</v>
      </c>
    </row>
    <row r="40" spans="1:31">
      <c r="A40" s="68" t="s">
        <v>142</v>
      </c>
      <c r="B40" s="69" t="s">
        <v>32</v>
      </c>
      <c r="C40" s="68">
        <v>48605.406999999999</v>
      </c>
      <c r="D40" s="68" t="s">
        <v>70</v>
      </c>
      <c r="E40">
        <f t="shared" si="0"/>
        <v>11537.024990187478</v>
      </c>
      <c r="F40">
        <f t="shared" si="1"/>
        <v>11537</v>
      </c>
      <c r="G40">
        <f t="shared" si="2"/>
        <v>2.9306899996299762E-2</v>
      </c>
      <c r="I40">
        <f t="shared" si="6"/>
        <v>2.9306899996299762E-2</v>
      </c>
      <c r="O40">
        <f t="shared" ca="1" si="4"/>
        <v>3.175333673886703E-2</v>
      </c>
      <c r="Q40" s="2">
        <f t="shared" si="5"/>
        <v>33586.906999999999</v>
      </c>
    </row>
    <row r="41" spans="1:31">
      <c r="A41" s="68" t="s">
        <v>149</v>
      </c>
      <c r="B41" s="69" t="s">
        <v>32</v>
      </c>
      <c r="C41" s="68">
        <v>48726.303399999997</v>
      </c>
      <c r="D41" s="68" t="s">
        <v>70</v>
      </c>
      <c r="E41">
        <f t="shared" si="0"/>
        <v>11640.114150129059</v>
      </c>
      <c r="F41">
        <f t="shared" si="1"/>
        <v>11640</v>
      </c>
      <c r="O41">
        <f t="shared" ca="1" si="4"/>
        <v>3.1904612138556387E-2</v>
      </c>
      <c r="Q41" s="2">
        <f t="shared" si="5"/>
        <v>33707.803399999997</v>
      </c>
      <c r="U41">
        <f>+C41-(C$7+F41*C$8)</f>
        <v>0.13386799999716459</v>
      </c>
    </row>
    <row r="42" spans="1:31">
      <c r="A42" s="68" t="s">
        <v>142</v>
      </c>
      <c r="B42" s="69" t="s">
        <v>32</v>
      </c>
      <c r="C42" s="68">
        <v>48843.476000000002</v>
      </c>
      <c r="D42" s="68" t="s">
        <v>70</v>
      </c>
      <c r="E42">
        <f t="shared" si="0"/>
        <v>11740.028001179808</v>
      </c>
      <c r="F42">
        <f t="shared" si="1"/>
        <v>11740</v>
      </c>
      <c r="G42">
        <f t="shared" ref="G42:G81" si="7">+C42-(C$7+F42*C$8)</f>
        <v>3.2838000006449874E-2</v>
      </c>
      <c r="I42">
        <f>+G42</f>
        <v>3.2838000006449874E-2</v>
      </c>
      <c r="O42">
        <f t="shared" ca="1" si="4"/>
        <v>3.2051481458643144E-2</v>
      </c>
      <c r="Q42" s="2">
        <f t="shared" si="5"/>
        <v>33824.976000000002</v>
      </c>
    </row>
    <row r="43" spans="1:31">
      <c r="A43" s="68" t="s">
        <v>155</v>
      </c>
      <c r="B43" s="69" t="s">
        <v>32</v>
      </c>
      <c r="C43" s="68">
        <v>50017.378599999996</v>
      </c>
      <c r="D43" s="68" t="s">
        <v>70</v>
      </c>
      <c r="E43">
        <f t="shared" si="0"/>
        <v>12741.022512904219</v>
      </c>
      <c r="F43">
        <f t="shared" si="1"/>
        <v>12741</v>
      </c>
      <c r="G43">
        <f t="shared" si="7"/>
        <v>2.6401700000860728E-2</v>
      </c>
      <c r="J43">
        <f>+G43</f>
        <v>2.6401700000860728E-2</v>
      </c>
      <c r="O43">
        <f t="shared" ca="1" si="4"/>
        <v>3.3521643352711586E-2</v>
      </c>
      <c r="Q43" s="2">
        <f t="shared" si="5"/>
        <v>34998.878599999996</v>
      </c>
    </row>
    <row r="44" spans="1:31">
      <c r="A44" t="s">
        <v>36</v>
      </c>
      <c r="B44" s="12"/>
      <c r="C44" s="12">
        <v>50601.406799999997</v>
      </c>
      <c r="D44" s="12">
        <v>2.0999999999999999E-3</v>
      </c>
      <c r="E44">
        <f t="shared" si="0"/>
        <v>13239.02722206177</v>
      </c>
      <c r="F44">
        <f t="shared" si="1"/>
        <v>13239</v>
      </c>
      <c r="G44">
        <f t="shared" si="7"/>
        <v>3.1924299997626804E-2</v>
      </c>
      <c r="K44">
        <f>+G44</f>
        <v>3.1924299997626804E-2</v>
      </c>
      <c r="O44">
        <f t="shared" ca="1" si="4"/>
        <v>3.425305256674363E-2</v>
      </c>
      <c r="Q44" s="2">
        <f t="shared" si="5"/>
        <v>35582.906799999997</v>
      </c>
    </row>
    <row r="45" spans="1:31">
      <c r="A45" s="17" t="s">
        <v>36</v>
      </c>
      <c r="B45" s="18"/>
      <c r="C45" s="12">
        <v>50601.406799999997</v>
      </c>
      <c r="D45" s="12">
        <v>2.0999999999999999E-3</v>
      </c>
      <c r="E45">
        <f t="shared" si="0"/>
        <v>13239.02722206177</v>
      </c>
      <c r="F45">
        <f t="shared" si="1"/>
        <v>13239</v>
      </c>
      <c r="G45">
        <f t="shared" si="7"/>
        <v>3.1924299997626804E-2</v>
      </c>
      <c r="K45">
        <f>+G45</f>
        <v>3.1924299997626804E-2</v>
      </c>
      <c r="O45">
        <f t="shared" ca="1" si="4"/>
        <v>3.425305256674363E-2</v>
      </c>
      <c r="Q45" s="2">
        <f t="shared" si="5"/>
        <v>35582.906799999997</v>
      </c>
    </row>
    <row r="46" spans="1:31">
      <c r="A46" t="s">
        <v>30</v>
      </c>
      <c r="B46" s="9" t="s">
        <v>32</v>
      </c>
      <c r="C46" s="21">
        <v>50726.303399999997</v>
      </c>
      <c r="D46" s="12">
        <v>1.1999999999999999E-3</v>
      </c>
      <c r="E46">
        <f t="shared" si="0"/>
        <v>13345.527379002422</v>
      </c>
      <c r="F46">
        <f t="shared" si="1"/>
        <v>13345.5</v>
      </c>
      <c r="G46">
        <f t="shared" si="7"/>
        <v>3.2108349994814489E-2</v>
      </c>
      <c r="K46">
        <f>+G46</f>
        <v>3.2108349994814489E-2</v>
      </c>
      <c r="O46">
        <f t="shared" ca="1" si="4"/>
        <v>3.4409468392636026E-2</v>
      </c>
      <c r="Q46" s="2">
        <f t="shared" si="5"/>
        <v>35707.803399999997</v>
      </c>
      <c r="AA46">
        <v>28</v>
      </c>
      <c r="AC46" t="s">
        <v>29</v>
      </c>
      <c r="AE46" t="s">
        <v>31</v>
      </c>
    </row>
    <row r="47" spans="1:31">
      <c r="A47" t="s">
        <v>36</v>
      </c>
      <c r="B47" s="11"/>
      <c r="C47" s="12">
        <v>50750.350100000003</v>
      </c>
      <c r="D47" s="12">
        <v>1.4E-3</v>
      </c>
      <c r="E47">
        <f t="shared" si="0"/>
        <v>13366.0321591478</v>
      </c>
      <c r="F47">
        <f t="shared" si="1"/>
        <v>13366</v>
      </c>
      <c r="G47">
        <f t="shared" si="7"/>
        <v>3.7714199999754783E-2</v>
      </c>
      <c r="K47">
        <f>+G47</f>
        <v>3.7714199999754783E-2</v>
      </c>
      <c r="O47">
        <f t="shared" ca="1" si="4"/>
        <v>3.4439576603253814E-2</v>
      </c>
      <c r="Q47" s="2">
        <f t="shared" si="5"/>
        <v>35731.850100000003</v>
      </c>
    </row>
    <row r="48" spans="1:31">
      <c r="A48" s="17" t="s">
        <v>36</v>
      </c>
      <c r="B48" s="18"/>
      <c r="C48" s="12">
        <v>50750.350100000003</v>
      </c>
      <c r="D48" s="12">
        <v>1.4E-3</v>
      </c>
      <c r="E48">
        <f t="shared" si="0"/>
        <v>13366.0321591478</v>
      </c>
      <c r="F48">
        <f t="shared" si="1"/>
        <v>13366</v>
      </c>
      <c r="G48">
        <f t="shared" si="7"/>
        <v>3.7714199999754783E-2</v>
      </c>
      <c r="K48">
        <f>+G48</f>
        <v>3.7714199999754783E-2</v>
      </c>
      <c r="O48">
        <f t="shared" ca="1" si="4"/>
        <v>3.4439576603253814E-2</v>
      </c>
      <c r="Q48" s="2">
        <f t="shared" si="5"/>
        <v>35731.850100000003</v>
      </c>
    </row>
    <row r="49" spans="1:17">
      <c r="A49" s="68" t="s">
        <v>155</v>
      </c>
      <c r="B49" s="69" t="s">
        <v>32</v>
      </c>
      <c r="C49" s="68">
        <v>50845.335200000001</v>
      </c>
      <c r="D49" s="68" t="s">
        <v>70</v>
      </c>
      <c r="E49">
        <f t="shared" si="0"/>
        <v>13447.026582190729</v>
      </c>
      <c r="F49">
        <f t="shared" si="1"/>
        <v>13447</v>
      </c>
      <c r="G49">
        <f t="shared" si="7"/>
        <v>3.1173900002613664E-2</v>
      </c>
      <c r="J49">
        <f>+G49</f>
        <v>3.1173900002613664E-2</v>
      </c>
      <c r="O49">
        <f t="shared" ca="1" si="4"/>
        <v>3.4558540752524083E-2</v>
      </c>
      <c r="Q49" s="2">
        <f t="shared" si="5"/>
        <v>35826.835200000001</v>
      </c>
    </row>
    <row r="50" spans="1:17">
      <c r="A50" t="s">
        <v>37</v>
      </c>
      <c r="C50" s="12">
        <v>50961.435799999999</v>
      </c>
      <c r="D50" s="12">
        <v>2.3999999999999998E-3</v>
      </c>
      <c r="E50">
        <f t="shared" si="0"/>
        <v>13546.026331750794</v>
      </c>
      <c r="F50">
        <f t="shared" si="1"/>
        <v>13546</v>
      </c>
      <c r="G50">
        <f t="shared" si="7"/>
        <v>3.0880199999955948E-2</v>
      </c>
      <c r="K50">
        <f>+G50</f>
        <v>3.0880199999955948E-2</v>
      </c>
      <c r="O50">
        <f t="shared" ca="1" si="4"/>
        <v>3.4703941379409978E-2</v>
      </c>
      <c r="Q50" s="2">
        <f t="shared" si="5"/>
        <v>35942.935799999999</v>
      </c>
    </row>
    <row r="51" spans="1:17">
      <c r="A51" s="68" t="s">
        <v>155</v>
      </c>
      <c r="B51" s="69" t="s">
        <v>32</v>
      </c>
      <c r="C51" s="68">
        <v>51110.376499999998</v>
      </c>
      <c r="D51" s="68" t="s">
        <v>70</v>
      </c>
      <c r="E51">
        <f t="shared" si="0"/>
        <v>13673.029051799624</v>
      </c>
      <c r="F51">
        <f t="shared" si="1"/>
        <v>13673</v>
      </c>
      <c r="G51">
        <f t="shared" si="7"/>
        <v>3.4070099995005876E-2</v>
      </c>
      <c r="J51">
        <f>+G51</f>
        <v>3.4070099995005876E-2</v>
      </c>
      <c r="O51">
        <f t="shared" ca="1" si="4"/>
        <v>3.4890465415920155E-2</v>
      </c>
      <c r="Q51" s="2">
        <f t="shared" si="5"/>
        <v>36091.876499999998</v>
      </c>
    </row>
    <row r="52" spans="1:17">
      <c r="A52" t="s">
        <v>35</v>
      </c>
      <c r="B52" s="12"/>
      <c r="C52" s="12">
        <v>51464.544600000001</v>
      </c>
      <c r="D52" s="12">
        <v>2.9999999999999997E-4</v>
      </c>
      <c r="E52">
        <f t="shared" si="0"/>
        <v>13975.030533292098</v>
      </c>
      <c r="F52">
        <f t="shared" si="1"/>
        <v>13975</v>
      </c>
      <c r="G52">
        <f t="shared" si="7"/>
        <v>3.5807500004011672E-2</v>
      </c>
      <c r="J52">
        <f>+G52</f>
        <v>3.5807500004011672E-2</v>
      </c>
      <c r="O52">
        <f t="shared" ca="1" si="4"/>
        <v>3.5334010762582163E-2</v>
      </c>
      <c r="Q52" s="2">
        <f t="shared" si="5"/>
        <v>36446.044600000001</v>
      </c>
    </row>
    <row r="53" spans="1:17">
      <c r="A53" s="40" t="s">
        <v>35</v>
      </c>
      <c r="B53" s="41"/>
      <c r="C53" s="17">
        <v>51471.580099999999</v>
      </c>
      <c r="D53" s="17">
        <v>2.0000000000000001E-4</v>
      </c>
      <c r="E53">
        <f t="shared" ref="E53:E81" si="8">+(C53-C$7)/C$8</f>
        <v>13981.029750677966</v>
      </c>
      <c r="F53">
        <f t="shared" ref="F53:F83" si="9">ROUND(2*E53,0)/2</f>
        <v>13981</v>
      </c>
      <c r="G53">
        <f t="shared" si="7"/>
        <v>3.4889700000348967E-2</v>
      </c>
      <c r="J53">
        <f>+G53</f>
        <v>3.4889700000348967E-2</v>
      </c>
      <c r="O53">
        <f t="shared" ref="O53:O81" ca="1" si="10">+C$11+C$12*F53</f>
        <v>3.5342822921787365E-2</v>
      </c>
      <c r="Q53" s="2">
        <f t="shared" ref="Q53:Q81" si="11">+C53-15018.5</f>
        <v>36453.080099999999</v>
      </c>
    </row>
    <row r="54" spans="1:17">
      <c r="A54" s="40" t="s">
        <v>33</v>
      </c>
      <c r="B54" s="42" t="s">
        <v>34</v>
      </c>
      <c r="C54" s="43">
        <v>51484.482600000003</v>
      </c>
      <c r="D54" s="43">
        <v>3.3999999999999998E-3</v>
      </c>
      <c r="E54">
        <f t="shared" si="8"/>
        <v>13992.031797770738</v>
      </c>
      <c r="F54">
        <f t="shared" si="9"/>
        <v>13992</v>
      </c>
      <c r="G54">
        <f t="shared" si="7"/>
        <v>3.7290400003257673E-2</v>
      </c>
      <c r="K54">
        <f t="shared" ref="K54:K59" si="12">+G54</f>
        <v>3.7290400003257673E-2</v>
      </c>
      <c r="O54">
        <f t="shared" ca="1" si="10"/>
        <v>3.5358978546996912E-2</v>
      </c>
      <c r="Q54" s="2">
        <f t="shared" si="11"/>
        <v>36465.982600000003</v>
      </c>
    </row>
    <row r="55" spans="1:17" ht="12.75" customHeight="1">
      <c r="A55" s="40" t="s">
        <v>33</v>
      </c>
      <c r="B55" s="42" t="s">
        <v>34</v>
      </c>
      <c r="C55" s="43">
        <v>51518.494899999998</v>
      </c>
      <c r="D55" s="43">
        <v>9.5999999999999992E-3</v>
      </c>
      <c r="E55">
        <f t="shared" si="8"/>
        <v>14021.034310952939</v>
      </c>
      <c r="F55">
        <f t="shared" si="9"/>
        <v>14021</v>
      </c>
      <c r="G55">
        <f t="shared" si="7"/>
        <v>4.0237699999124743E-2</v>
      </c>
      <c r="K55">
        <f t="shared" si="12"/>
        <v>4.0237699999124743E-2</v>
      </c>
      <c r="O55">
        <f t="shared" ca="1" si="10"/>
        <v>3.5401570649822071E-2</v>
      </c>
      <c r="Q55" s="2">
        <f t="shared" si="11"/>
        <v>36499.994899999998</v>
      </c>
    </row>
    <row r="56" spans="1:17">
      <c r="A56" s="68" t="s">
        <v>197</v>
      </c>
      <c r="B56" s="69" t="s">
        <v>32</v>
      </c>
      <c r="C56" s="68">
        <v>51558.363400000002</v>
      </c>
      <c r="D56" s="68" t="s">
        <v>70</v>
      </c>
      <c r="E56">
        <f t="shared" si="8"/>
        <v>14055.030444610611</v>
      </c>
      <c r="F56">
        <f t="shared" si="9"/>
        <v>14055</v>
      </c>
      <c r="G56">
        <f t="shared" si="7"/>
        <v>3.5703500005183741E-2</v>
      </c>
      <c r="K56">
        <f t="shared" si="12"/>
        <v>3.5703500005183741E-2</v>
      </c>
      <c r="O56">
        <f t="shared" ca="1" si="10"/>
        <v>3.545150621865157E-2</v>
      </c>
      <c r="Q56" s="2">
        <f t="shared" si="11"/>
        <v>36539.863400000002</v>
      </c>
    </row>
    <row r="57" spans="1:17">
      <c r="A57" s="68" t="s">
        <v>201</v>
      </c>
      <c r="B57" s="69" t="s">
        <v>32</v>
      </c>
      <c r="C57" s="68">
        <v>52136.521500000003</v>
      </c>
      <c r="D57" s="68" t="s">
        <v>70</v>
      </c>
      <c r="E57">
        <f t="shared" si="8"/>
        <v>14548.029680670756</v>
      </c>
      <c r="F57">
        <f t="shared" si="9"/>
        <v>14548</v>
      </c>
      <c r="G57">
        <f t="shared" si="7"/>
        <v>3.4807600008207373E-2</v>
      </c>
      <c r="K57">
        <f t="shared" si="12"/>
        <v>3.4807600008207373E-2</v>
      </c>
      <c r="O57">
        <f t="shared" ca="1" si="10"/>
        <v>3.6175571966679282E-2</v>
      </c>
      <c r="Q57" s="2">
        <f t="shared" si="11"/>
        <v>37118.021500000003</v>
      </c>
    </row>
    <row r="58" spans="1:17">
      <c r="A58" s="44" t="s">
        <v>51</v>
      </c>
      <c r="B58" s="45" t="s">
        <v>34</v>
      </c>
      <c r="C58" s="44">
        <v>52156.459239999996</v>
      </c>
      <c r="D58" s="44">
        <v>2.0999999999999999E-3</v>
      </c>
      <c r="E58">
        <f t="shared" si="8"/>
        <v>14565.030723445669</v>
      </c>
      <c r="F58">
        <f t="shared" si="9"/>
        <v>14565</v>
      </c>
      <c r="G58">
        <f t="shared" si="7"/>
        <v>3.6030499992193654E-2</v>
      </c>
      <c r="K58">
        <f t="shared" si="12"/>
        <v>3.6030499992193654E-2</v>
      </c>
      <c r="O58">
        <f t="shared" ca="1" si="10"/>
        <v>3.6200539751094024E-2</v>
      </c>
      <c r="Q58" s="2">
        <f t="shared" si="11"/>
        <v>37137.959239999996</v>
      </c>
    </row>
    <row r="59" spans="1:17">
      <c r="A59" s="47" t="s">
        <v>58</v>
      </c>
      <c r="B59" s="39" t="s">
        <v>34</v>
      </c>
      <c r="C59" s="38">
        <v>52592.717199999999</v>
      </c>
      <c r="D59" s="38">
        <v>2.9999999999999997E-4</v>
      </c>
      <c r="E59">
        <f t="shared" si="8"/>
        <v>14937.030771538324</v>
      </c>
      <c r="F59">
        <f t="shared" si="9"/>
        <v>14937</v>
      </c>
      <c r="G59">
        <f t="shared" si="7"/>
        <v>3.6086899999645539E-2</v>
      </c>
      <c r="K59">
        <f t="shared" si="12"/>
        <v>3.6086899999645539E-2</v>
      </c>
      <c r="O59">
        <f t="shared" ca="1" si="10"/>
        <v>3.6746893621816767E-2</v>
      </c>
      <c r="Q59" s="2">
        <f t="shared" si="11"/>
        <v>37574.217199999999</v>
      </c>
    </row>
    <row r="60" spans="1:17">
      <c r="A60" s="20" t="s">
        <v>41</v>
      </c>
      <c r="B60" s="41"/>
      <c r="C60" s="17">
        <v>53653.4542</v>
      </c>
      <c r="D60" s="17">
        <v>1.46E-2</v>
      </c>
      <c r="E60">
        <f t="shared" si="8"/>
        <v>15841.528227616047</v>
      </c>
      <c r="F60">
        <f t="shared" si="9"/>
        <v>15841.5</v>
      </c>
      <c r="G60">
        <f t="shared" si="7"/>
        <v>3.3103550005762372E-2</v>
      </c>
      <c r="J60">
        <f t="shared" ref="J60:J66" si="13">+G60</f>
        <v>3.3103550005762372E-2</v>
      </c>
      <c r="O60">
        <f t="shared" ca="1" si="10"/>
        <v>3.8075326622001485E-2</v>
      </c>
      <c r="Q60" s="2">
        <f t="shared" si="11"/>
        <v>38634.9542</v>
      </c>
    </row>
    <row r="61" spans="1:17">
      <c r="A61" s="20" t="s">
        <v>41</v>
      </c>
      <c r="B61" s="41"/>
      <c r="C61" s="17">
        <v>53717.373899999999</v>
      </c>
      <c r="D61" s="17">
        <v>8.9999999999999998E-4</v>
      </c>
      <c r="E61">
        <f t="shared" si="8"/>
        <v>15896.032978598854</v>
      </c>
      <c r="F61">
        <f t="shared" si="9"/>
        <v>15896</v>
      </c>
      <c r="G61">
        <f t="shared" si="7"/>
        <v>3.8675199997669552E-2</v>
      </c>
      <c r="J61">
        <f t="shared" si="13"/>
        <v>3.8675199997669552E-2</v>
      </c>
      <c r="O61">
        <f t="shared" ca="1" si="10"/>
        <v>3.8155370401448764E-2</v>
      </c>
      <c r="Q61" s="2">
        <f t="shared" si="11"/>
        <v>38698.873899999999</v>
      </c>
    </row>
    <row r="62" spans="1:17">
      <c r="A62" s="20" t="s">
        <v>41</v>
      </c>
      <c r="B62" s="41"/>
      <c r="C62" s="17">
        <v>53768.388800000001</v>
      </c>
      <c r="D62" s="17">
        <v>2.0999999999999999E-3</v>
      </c>
      <c r="E62">
        <f t="shared" si="8"/>
        <v>15939.533721263682</v>
      </c>
      <c r="F62">
        <f t="shared" si="9"/>
        <v>15939.5</v>
      </c>
      <c r="G62">
        <f t="shared" si="7"/>
        <v>3.9546150001115166E-2</v>
      </c>
      <c r="J62">
        <f t="shared" si="13"/>
        <v>3.9546150001115166E-2</v>
      </c>
      <c r="O62">
        <f t="shared" ca="1" si="10"/>
        <v>3.8219258555686503E-2</v>
      </c>
      <c r="Q62" s="2">
        <f t="shared" si="11"/>
        <v>38749.888800000001</v>
      </c>
    </row>
    <row r="63" spans="1:17">
      <c r="A63" s="20" t="s">
        <v>48</v>
      </c>
      <c r="B63" s="42" t="s">
        <v>34</v>
      </c>
      <c r="C63" s="17">
        <v>53990.6201</v>
      </c>
      <c r="D63" s="17">
        <v>1.6000000000000001E-3</v>
      </c>
      <c r="E63">
        <f t="shared" si="8"/>
        <v>16129.031820708544</v>
      </c>
      <c r="F63">
        <f t="shared" si="9"/>
        <v>16129</v>
      </c>
      <c r="G63">
        <f t="shared" si="7"/>
        <v>3.7317299997084774E-2</v>
      </c>
      <c r="J63">
        <f t="shared" si="13"/>
        <v>3.7317299997084774E-2</v>
      </c>
      <c r="O63">
        <f t="shared" ca="1" si="10"/>
        <v>3.8497575917250906E-2</v>
      </c>
      <c r="Q63" s="2">
        <f t="shared" si="11"/>
        <v>38972.1201</v>
      </c>
    </row>
    <row r="64" spans="1:17">
      <c r="A64" s="20" t="s">
        <v>48</v>
      </c>
      <c r="B64" s="42" t="s">
        <v>34</v>
      </c>
      <c r="C64" s="17">
        <v>54002.347000000002</v>
      </c>
      <c r="D64" s="17">
        <v>3.5000000000000001E-3</v>
      </c>
      <c r="E64">
        <f t="shared" si="8"/>
        <v>16139.031425905383</v>
      </c>
      <c r="F64">
        <f t="shared" si="9"/>
        <v>16139</v>
      </c>
      <c r="G64">
        <f t="shared" si="7"/>
        <v>3.6854300000413787E-2</v>
      </c>
      <c r="J64">
        <f t="shared" si="13"/>
        <v>3.6854300000413787E-2</v>
      </c>
      <c r="O64">
        <f t="shared" ca="1" si="10"/>
        <v>3.8512262849259585E-2</v>
      </c>
      <c r="Q64" s="2">
        <f t="shared" si="11"/>
        <v>38983.847000000002</v>
      </c>
    </row>
    <row r="65" spans="1:17">
      <c r="A65" s="20" t="s">
        <v>48</v>
      </c>
      <c r="B65" s="42" t="s">
        <v>34</v>
      </c>
      <c r="C65" s="17">
        <v>54003.520900000003</v>
      </c>
      <c r="D65" s="17">
        <v>6.9999999999999999E-4</v>
      </c>
      <c r="E65">
        <f t="shared" si="8"/>
        <v>16140.032418200071</v>
      </c>
      <c r="F65">
        <f t="shared" si="9"/>
        <v>16140</v>
      </c>
      <c r="G65">
        <f t="shared" si="7"/>
        <v>3.8018000006559305E-2</v>
      </c>
      <c r="J65">
        <f t="shared" si="13"/>
        <v>3.8018000006559305E-2</v>
      </c>
      <c r="O65">
        <f t="shared" ca="1" si="10"/>
        <v>3.8513731542460447E-2</v>
      </c>
      <c r="Q65" s="2">
        <f t="shared" si="11"/>
        <v>38985.020900000003</v>
      </c>
    </row>
    <row r="66" spans="1:17">
      <c r="A66" s="20" t="s">
        <v>48</v>
      </c>
      <c r="B66" s="42" t="s">
        <v>34</v>
      </c>
      <c r="C66" s="17">
        <v>54020.528899999998</v>
      </c>
      <c r="D66" s="17">
        <v>3.2000000000000002E-3</v>
      </c>
      <c r="E66">
        <f t="shared" si="8"/>
        <v>16154.535252298405</v>
      </c>
      <c r="F66">
        <f t="shared" si="9"/>
        <v>16154.5</v>
      </c>
      <c r="G66">
        <f t="shared" si="7"/>
        <v>4.1341650001413655E-2</v>
      </c>
      <c r="J66">
        <f t="shared" si="13"/>
        <v>4.1341650001413655E-2</v>
      </c>
      <c r="O66">
        <f t="shared" ca="1" si="10"/>
        <v>3.8535027593873034E-2</v>
      </c>
      <c r="Q66" s="2">
        <f t="shared" si="11"/>
        <v>39002.028899999998</v>
      </c>
    </row>
    <row r="67" spans="1:17">
      <c r="A67" s="19" t="s">
        <v>47</v>
      </c>
      <c r="B67" s="46" t="s">
        <v>34</v>
      </c>
      <c r="C67" s="17">
        <v>54090.305099999903</v>
      </c>
      <c r="D67" s="17">
        <v>5.9999999999999995E-4</v>
      </c>
      <c r="E67">
        <f t="shared" si="8"/>
        <v>16214.033879568582</v>
      </c>
      <c r="F67">
        <f t="shared" si="9"/>
        <v>16214</v>
      </c>
      <c r="G67">
        <f t="shared" si="7"/>
        <v>3.9731799908622634E-2</v>
      </c>
      <c r="K67">
        <f>+G67</f>
        <v>3.9731799908622634E-2</v>
      </c>
      <c r="O67">
        <f t="shared" ca="1" si="10"/>
        <v>3.8622414839324645E-2</v>
      </c>
      <c r="Q67" s="2">
        <f t="shared" si="11"/>
        <v>39071.805099999903</v>
      </c>
    </row>
    <row r="68" spans="1:17">
      <c r="A68" s="68" t="s">
        <v>47</v>
      </c>
      <c r="B68" s="69" t="s">
        <v>32</v>
      </c>
      <c r="C68" s="68">
        <v>54090.305099999998</v>
      </c>
      <c r="D68" s="68" t="s">
        <v>70</v>
      </c>
      <c r="E68">
        <f t="shared" si="8"/>
        <v>16214.033879568662</v>
      </c>
      <c r="F68">
        <f t="shared" si="9"/>
        <v>16214</v>
      </c>
      <c r="G68">
        <f t="shared" si="7"/>
        <v>3.9731800003210083E-2</v>
      </c>
      <c r="I68">
        <f>+G68</f>
        <v>3.9731800003210083E-2</v>
      </c>
      <c r="O68">
        <f t="shared" ca="1" si="10"/>
        <v>3.8622414839324645E-2</v>
      </c>
      <c r="Q68" s="2">
        <f t="shared" si="11"/>
        <v>39071.805099999998</v>
      </c>
    </row>
    <row r="69" spans="1:17">
      <c r="A69" s="17" t="s">
        <v>50</v>
      </c>
      <c r="B69" s="46" t="s">
        <v>34</v>
      </c>
      <c r="C69" s="17">
        <v>54454.441400000003</v>
      </c>
      <c r="D69" s="17">
        <v>2.0999999999999999E-3</v>
      </c>
      <c r="E69">
        <f t="shared" si="8"/>
        <v>16524.535311135165</v>
      </c>
      <c r="F69">
        <f t="shared" si="9"/>
        <v>16524.5</v>
      </c>
      <c r="G69">
        <f t="shared" si="7"/>
        <v>4.1410650002944749E-2</v>
      </c>
      <c r="J69">
        <f>+G69</f>
        <v>4.1410650002944749E-2</v>
      </c>
      <c r="O69">
        <f t="shared" ca="1" si="10"/>
        <v>3.9078444078194031E-2</v>
      </c>
      <c r="Q69" s="2">
        <f t="shared" si="11"/>
        <v>39435.941400000003</v>
      </c>
    </row>
    <row r="70" spans="1:17">
      <c r="A70" s="48" t="s">
        <v>56</v>
      </c>
      <c r="B70" s="49" t="s">
        <v>34</v>
      </c>
      <c r="C70" s="48">
        <v>54830.301099999997</v>
      </c>
      <c r="D70" s="48">
        <v>2.9999999999999997E-4</v>
      </c>
      <c r="E70">
        <f t="shared" si="8"/>
        <v>16845.033363425347</v>
      </c>
      <c r="F70">
        <f t="shared" si="9"/>
        <v>16845</v>
      </c>
      <c r="G70">
        <f t="shared" si="7"/>
        <v>3.9126499992562458E-2</v>
      </c>
      <c r="J70">
        <f>+G70</f>
        <v>3.9126499992562458E-2</v>
      </c>
      <c r="O70">
        <f t="shared" ca="1" si="10"/>
        <v>3.9549160249072082E-2</v>
      </c>
      <c r="Q70" s="2">
        <f t="shared" si="11"/>
        <v>39811.801099999997</v>
      </c>
    </row>
    <row r="71" spans="1:17">
      <c r="A71" s="48" t="s">
        <v>56</v>
      </c>
      <c r="B71" s="49" t="s">
        <v>32</v>
      </c>
      <c r="C71" s="48">
        <v>54840.272599999997</v>
      </c>
      <c r="D71" s="48">
        <v>1.9E-3</v>
      </c>
      <c r="E71">
        <f t="shared" si="8"/>
        <v>16853.536127431202</v>
      </c>
      <c r="F71">
        <f t="shared" si="9"/>
        <v>16853.5</v>
      </c>
      <c r="G71">
        <f t="shared" si="7"/>
        <v>4.2367949994513765E-2</v>
      </c>
      <c r="J71">
        <f>+G71</f>
        <v>4.2367949994513765E-2</v>
      </c>
      <c r="O71">
        <f t="shared" ca="1" si="10"/>
        <v>3.956164414127946E-2</v>
      </c>
      <c r="Q71" s="2">
        <f t="shared" si="11"/>
        <v>39821.772599999997</v>
      </c>
    </row>
    <row r="72" spans="1:17">
      <c r="A72" s="48" t="s">
        <v>56</v>
      </c>
      <c r="B72" s="49" t="s">
        <v>32</v>
      </c>
      <c r="C72" s="48">
        <v>54841.445200000002</v>
      </c>
      <c r="D72" s="48">
        <v>1.5E-3</v>
      </c>
      <c r="E72">
        <f t="shared" si="8"/>
        <v>16854.536011207296</v>
      </c>
      <c r="F72">
        <f t="shared" si="9"/>
        <v>16854.5</v>
      </c>
      <c r="G72">
        <f t="shared" si="7"/>
        <v>4.2231650004396215E-2</v>
      </c>
      <c r="J72">
        <f>+G72</f>
        <v>4.2231650004396215E-2</v>
      </c>
      <c r="O72">
        <f t="shared" ca="1" si="10"/>
        <v>3.956311283448033E-2</v>
      </c>
      <c r="Q72" s="2">
        <f t="shared" si="11"/>
        <v>39822.945200000002</v>
      </c>
    </row>
    <row r="73" spans="1:17">
      <c r="A73" s="68" t="s">
        <v>269</v>
      </c>
      <c r="B73" s="69" t="s">
        <v>34</v>
      </c>
      <c r="C73" s="68">
        <v>55058.398699999998</v>
      </c>
      <c r="D73" s="68" t="s">
        <v>70</v>
      </c>
      <c r="E73">
        <f t="shared" si="8"/>
        <v>17039.533695682479</v>
      </c>
      <c r="F73">
        <f t="shared" si="9"/>
        <v>17039.5</v>
      </c>
      <c r="G73">
        <f t="shared" si="7"/>
        <v>3.9516149998235051E-2</v>
      </c>
      <c r="I73">
        <f>+G73</f>
        <v>3.9516149998235051E-2</v>
      </c>
      <c r="O73">
        <f t="shared" ca="1" si="10"/>
        <v>3.9834821076640825E-2</v>
      </c>
      <c r="Q73" s="2">
        <f t="shared" si="11"/>
        <v>40039.898699999998</v>
      </c>
    </row>
    <row r="74" spans="1:17">
      <c r="A74" s="68" t="s">
        <v>269</v>
      </c>
      <c r="B74" s="69" t="s">
        <v>32</v>
      </c>
      <c r="C74" s="68">
        <v>55096.5121</v>
      </c>
      <c r="D74" s="68" t="s">
        <v>70</v>
      </c>
      <c r="E74">
        <f t="shared" si="8"/>
        <v>17072.033243961152</v>
      </c>
      <c r="F74">
        <f t="shared" si="9"/>
        <v>17072</v>
      </c>
      <c r="G74">
        <f t="shared" si="7"/>
        <v>3.8986399995337706E-2</v>
      </c>
      <c r="I74">
        <f>+G74</f>
        <v>3.8986399995337706E-2</v>
      </c>
      <c r="O74">
        <f t="shared" ca="1" si="10"/>
        <v>3.9882553605669023E-2</v>
      </c>
      <c r="Q74" s="2">
        <f t="shared" si="11"/>
        <v>40078.0121</v>
      </c>
    </row>
    <row r="75" spans="1:17">
      <c r="A75" s="48" t="s">
        <v>52</v>
      </c>
      <c r="B75" s="49" t="s">
        <v>34</v>
      </c>
      <c r="C75" s="48">
        <v>55158.665699999998</v>
      </c>
      <c r="D75" s="48">
        <v>2.9999999999999997E-4</v>
      </c>
      <c r="E75">
        <f t="shared" si="8"/>
        <v>17125.032029792204</v>
      </c>
      <c r="F75">
        <f t="shared" si="9"/>
        <v>17125</v>
      </c>
      <c r="G75">
        <f t="shared" si="7"/>
        <v>3.7562500001513399E-2</v>
      </c>
      <c r="K75">
        <f>+G75</f>
        <v>3.7562500001513399E-2</v>
      </c>
      <c r="O75">
        <f t="shared" ca="1" si="10"/>
        <v>3.9960394345315009E-2</v>
      </c>
      <c r="Q75" s="2">
        <f t="shared" si="11"/>
        <v>40140.165699999998</v>
      </c>
    </row>
    <row r="76" spans="1:17">
      <c r="A76" s="53" t="s">
        <v>59</v>
      </c>
      <c r="B76" s="53"/>
      <c r="C76" s="54">
        <v>55462.407899999998</v>
      </c>
      <c r="D76" s="54">
        <v>3.3999999999999998E-3</v>
      </c>
      <c r="E76">
        <f t="shared" si="8"/>
        <v>17384.035012815752</v>
      </c>
      <c r="F76">
        <f t="shared" si="9"/>
        <v>17384</v>
      </c>
      <c r="G76">
        <f t="shared" si="7"/>
        <v>4.106080000201473E-2</v>
      </c>
      <c r="J76">
        <f>+G76</f>
        <v>4.106080000201473E-2</v>
      </c>
      <c r="O76">
        <f t="shared" ca="1" si="10"/>
        <v>4.0340785884339703E-2</v>
      </c>
      <c r="Q76" s="2">
        <f t="shared" si="11"/>
        <v>40443.907899999998</v>
      </c>
    </row>
    <row r="77" spans="1:17">
      <c r="A77" s="53" t="s">
        <v>59</v>
      </c>
      <c r="B77" s="53"/>
      <c r="C77" s="54">
        <v>55473.549599999998</v>
      </c>
      <c r="D77" s="54">
        <v>2.8E-3</v>
      </c>
      <c r="E77">
        <f t="shared" si="8"/>
        <v>17393.535614101824</v>
      </c>
      <c r="F77">
        <f t="shared" si="9"/>
        <v>17393.5</v>
      </c>
      <c r="G77">
        <f t="shared" si="7"/>
        <v>4.1765949994442053E-2</v>
      </c>
      <c r="J77">
        <f>+G77</f>
        <v>4.1765949994442053E-2</v>
      </c>
      <c r="O77">
        <f t="shared" ca="1" si="10"/>
        <v>4.035473846974795E-2</v>
      </c>
      <c r="Q77" s="2">
        <f t="shared" si="11"/>
        <v>40455.049599999998</v>
      </c>
    </row>
    <row r="78" spans="1:17">
      <c r="A78" s="50" t="s">
        <v>53</v>
      </c>
      <c r="B78" s="51" t="s">
        <v>34</v>
      </c>
      <c r="C78" s="52">
        <v>55511.662700000001</v>
      </c>
      <c r="D78" s="52">
        <v>4.0000000000000002E-4</v>
      </c>
      <c r="E78">
        <f t="shared" si="8"/>
        <v>17426.034906568511</v>
      </c>
      <c r="F78">
        <f t="shared" si="9"/>
        <v>17426</v>
      </c>
      <c r="G78">
        <f t="shared" si="7"/>
        <v>4.0936200006399304E-2</v>
      </c>
      <c r="K78">
        <f>+G78</f>
        <v>4.0936200006399304E-2</v>
      </c>
      <c r="O78">
        <f t="shared" ca="1" si="10"/>
        <v>4.0402470998776141E-2</v>
      </c>
      <c r="Q78" s="2">
        <f t="shared" si="11"/>
        <v>40493.162700000001</v>
      </c>
    </row>
    <row r="79" spans="1:17">
      <c r="A79" s="53" t="s">
        <v>59</v>
      </c>
      <c r="B79" s="53"/>
      <c r="C79" s="54">
        <v>55514.594299999997</v>
      </c>
      <c r="D79" s="54">
        <v>3.0999999999999999E-3</v>
      </c>
      <c r="E79">
        <f t="shared" si="8"/>
        <v>17428.53470127939</v>
      </c>
      <c r="F79">
        <f t="shared" si="9"/>
        <v>17428.5</v>
      </c>
      <c r="G79">
        <f t="shared" si="7"/>
        <v>4.0695449992199428E-2</v>
      </c>
      <c r="J79">
        <f>+G79</f>
        <v>4.0695449992199428E-2</v>
      </c>
      <c r="O79">
        <f t="shared" ca="1" si="10"/>
        <v>4.0406142731778311E-2</v>
      </c>
      <c r="Q79" s="2">
        <f t="shared" si="11"/>
        <v>40496.094299999997</v>
      </c>
    </row>
    <row r="80" spans="1:17">
      <c r="A80" s="68" t="s">
        <v>301</v>
      </c>
      <c r="B80" s="69" t="s">
        <v>32</v>
      </c>
      <c r="C80" s="68">
        <v>55857.621099999997</v>
      </c>
      <c r="D80" s="68" t="s">
        <v>70</v>
      </c>
      <c r="E80">
        <f t="shared" si="8"/>
        <v>17721.035922568437</v>
      </c>
      <c r="F80">
        <f t="shared" si="9"/>
        <v>17721</v>
      </c>
      <c r="G80">
        <f t="shared" si="7"/>
        <v>4.2127699998673052E-2</v>
      </c>
      <c r="I80">
        <f>+G80</f>
        <v>4.2127699998673052E-2</v>
      </c>
      <c r="O80">
        <f t="shared" ca="1" si="10"/>
        <v>4.0835735493032078E-2</v>
      </c>
      <c r="Q80" s="2">
        <f t="shared" si="11"/>
        <v>40839.121099999997</v>
      </c>
    </row>
    <row r="81" spans="1:17">
      <c r="A81" s="50" t="s">
        <v>57</v>
      </c>
      <c r="B81" s="51" t="s">
        <v>34</v>
      </c>
      <c r="C81" s="52">
        <v>56251.660600000003</v>
      </c>
      <c r="D81" s="52">
        <v>2.0000000000000001E-4</v>
      </c>
      <c r="E81">
        <f t="shared" si="8"/>
        <v>18057.036010567768</v>
      </c>
      <c r="F81">
        <f t="shared" si="9"/>
        <v>18057</v>
      </c>
      <c r="G81">
        <f t="shared" si="7"/>
        <v>4.2230899998685345E-2</v>
      </c>
      <c r="K81">
        <f>+G81</f>
        <v>4.2230899998685345E-2</v>
      </c>
      <c r="O81">
        <f t="shared" ca="1" si="10"/>
        <v>4.1329216408523578E-2</v>
      </c>
      <c r="Q81" s="2">
        <f t="shared" si="11"/>
        <v>41233.160600000003</v>
      </c>
    </row>
    <row r="82" spans="1:17">
      <c r="A82" s="71" t="s">
        <v>0</v>
      </c>
      <c r="B82" s="72" t="s">
        <v>34</v>
      </c>
      <c r="C82" s="73">
        <v>57322.368999999999</v>
      </c>
      <c r="D82" s="73">
        <v>8.0000000000000004E-4</v>
      </c>
      <c r="E82">
        <f>+(C82-C$7)/C$8</f>
        <v>18970.03614538068</v>
      </c>
      <c r="F82">
        <f t="shared" si="9"/>
        <v>18970</v>
      </c>
      <c r="G82">
        <f>+C82-(C$7+F82*C$8)</f>
        <v>4.2389000002003741E-2</v>
      </c>
      <c r="K82">
        <f>+G82</f>
        <v>4.2389000002003741E-2</v>
      </c>
      <c r="O82">
        <f ca="1">+C$11+C$12*F82</f>
        <v>4.2670133300915666E-2</v>
      </c>
      <c r="Q82" s="2">
        <f>+C82-15018.5</f>
        <v>42303.868999999999</v>
      </c>
    </row>
    <row r="83" spans="1:17">
      <c r="A83" s="71" t="s">
        <v>0</v>
      </c>
      <c r="B83" s="72" t="s">
        <v>34</v>
      </c>
      <c r="C83" s="73">
        <v>57329.403899999998</v>
      </c>
      <c r="D83" s="73">
        <v>2.2000000000000001E-3</v>
      </c>
      <c r="E83">
        <f>+(C83-C$7)/C$8</f>
        <v>18976.03485114258</v>
      </c>
      <c r="F83">
        <f t="shared" si="9"/>
        <v>18976</v>
      </c>
      <c r="G83">
        <f>+C83-(C$7+F83*C$8)</f>
        <v>4.0871199998946395E-2</v>
      </c>
      <c r="K83">
        <f>+G83</f>
        <v>4.0871199998946395E-2</v>
      </c>
      <c r="O83">
        <f ca="1">+C$11+C$12*F83</f>
        <v>4.2678945460120875E-2</v>
      </c>
      <c r="Q83" s="2">
        <f>+C83-15018.5</f>
        <v>42310.903899999998</v>
      </c>
    </row>
    <row r="84" spans="1:17">
      <c r="B84" s="18"/>
    </row>
    <row r="85" spans="1:17">
      <c r="B85" s="18"/>
    </row>
    <row r="86" spans="1:17">
      <c r="B86" s="18"/>
    </row>
    <row r="87" spans="1:17">
      <c r="B87" s="18"/>
    </row>
    <row r="88" spans="1:17">
      <c r="B88" s="18"/>
    </row>
    <row r="89" spans="1:17">
      <c r="B89" s="18"/>
    </row>
    <row r="90" spans="1:17">
      <c r="B90" s="18"/>
    </row>
    <row r="91" spans="1:17">
      <c r="B91" s="18"/>
    </row>
    <row r="92" spans="1:17">
      <c r="B92" s="18"/>
    </row>
    <row r="93" spans="1:17">
      <c r="B93" s="18"/>
    </row>
    <row r="94" spans="1:17">
      <c r="B94" s="18"/>
    </row>
    <row r="95" spans="1:17">
      <c r="B95" s="18"/>
    </row>
    <row r="96" spans="1:17">
      <c r="B96" s="18"/>
    </row>
    <row r="97" spans="2:2">
      <c r="B97" s="18"/>
    </row>
    <row r="98" spans="2:2">
      <c r="B98" s="18"/>
    </row>
    <row r="99" spans="2:2">
      <c r="B99" s="18"/>
    </row>
  </sheetData>
  <phoneticPr fontId="8" type="noConversion"/>
  <hyperlinks>
    <hyperlink ref="H243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topLeftCell="A25" workbookViewId="0">
      <selection activeCell="A37" sqref="A37:D66"/>
    </sheetView>
  </sheetViews>
  <sheetFormatPr defaultRowHeight="12.75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55" t="s">
        <v>60</v>
      </c>
      <c r="I1" s="56" t="s">
        <v>61</v>
      </c>
      <c r="J1" s="57" t="s">
        <v>62</v>
      </c>
    </row>
    <row r="2" spans="1:16">
      <c r="I2" s="58" t="s">
        <v>63</v>
      </c>
      <c r="J2" s="59" t="s">
        <v>64</v>
      </c>
    </row>
    <row r="3" spans="1:16">
      <c r="A3" s="60" t="s">
        <v>65</v>
      </c>
      <c r="I3" s="58" t="s">
        <v>66</v>
      </c>
      <c r="J3" s="59" t="s">
        <v>67</v>
      </c>
    </row>
    <row r="4" spans="1:16">
      <c r="I4" s="58" t="s">
        <v>68</v>
      </c>
      <c r="J4" s="59" t="s">
        <v>67</v>
      </c>
    </row>
    <row r="5" spans="1:16" ht="13.5" thickBot="1">
      <c r="I5" s="61" t="s">
        <v>69</v>
      </c>
      <c r="J5" s="62" t="s">
        <v>70</v>
      </c>
    </row>
    <row r="10" spans="1:16" ht="13.5" thickBot="1"/>
    <row r="11" spans="1:16" ht="12.75" customHeight="1" thickBot="1">
      <c r="A11" s="12" t="str">
        <f t="shared" ref="A11:A42" si="0">P11</f>
        <v>IBVS 4887 </v>
      </c>
      <c r="B11" s="18" t="str">
        <f t="shared" ref="B11:B42" si="1">IF(H11=INT(H11),"I","II")</f>
        <v>II</v>
      </c>
      <c r="C11" s="12">
        <f t="shared" ref="C11:C42" si="2">1*G11</f>
        <v>50601.406799999997</v>
      </c>
      <c r="D11" s="16" t="str">
        <f t="shared" ref="D11:D42" si="3">VLOOKUP(F11,I$1:J$5,2,FALSE)</f>
        <v>vis</v>
      </c>
      <c r="E11" s="63">
        <f>VLOOKUP(C11,Active!C$21:E$973,3,FALSE)</f>
        <v>13239.02722206177</v>
      </c>
      <c r="F11" s="18" t="s">
        <v>69</v>
      </c>
      <c r="G11" s="16" t="str">
        <f t="shared" ref="G11:G42" si="4">MID(I11,3,LEN(I11)-3)</f>
        <v>50601.4068</v>
      </c>
      <c r="H11" s="12">
        <f t="shared" ref="H11:H42" si="5">1*K11</f>
        <v>13240.5</v>
      </c>
      <c r="I11" s="64" t="s">
        <v>156</v>
      </c>
      <c r="J11" s="65" t="s">
        <v>157</v>
      </c>
      <c r="K11" s="64">
        <v>13240.5</v>
      </c>
      <c r="L11" s="64" t="s">
        <v>158</v>
      </c>
      <c r="M11" s="65" t="s">
        <v>146</v>
      </c>
      <c r="N11" s="65" t="s">
        <v>147</v>
      </c>
      <c r="O11" s="66" t="s">
        <v>159</v>
      </c>
      <c r="P11" s="67" t="s">
        <v>160</v>
      </c>
    </row>
    <row r="12" spans="1:16" ht="12.75" customHeight="1" thickBot="1">
      <c r="A12" s="12" t="str">
        <f t="shared" si="0"/>
        <v>IBVS 4887 </v>
      </c>
      <c r="B12" s="18" t="str">
        <f t="shared" si="1"/>
        <v>II</v>
      </c>
      <c r="C12" s="12">
        <f t="shared" si="2"/>
        <v>50750.350100000003</v>
      </c>
      <c r="D12" s="16" t="str">
        <f t="shared" si="3"/>
        <v>vis</v>
      </c>
      <c r="E12" s="63">
        <f>VLOOKUP(C12,Active!C$21:E$973,3,FALSE)</f>
        <v>13366.0321591478</v>
      </c>
      <c r="F12" s="18" t="s">
        <v>69</v>
      </c>
      <c r="G12" s="16" t="str">
        <f t="shared" si="4"/>
        <v>50750.3501</v>
      </c>
      <c r="H12" s="12">
        <f t="shared" si="5"/>
        <v>13367.5</v>
      </c>
      <c r="I12" s="64" t="s">
        <v>161</v>
      </c>
      <c r="J12" s="65" t="s">
        <v>162</v>
      </c>
      <c r="K12" s="64">
        <v>13367.5</v>
      </c>
      <c r="L12" s="64" t="s">
        <v>163</v>
      </c>
      <c r="M12" s="65" t="s">
        <v>146</v>
      </c>
      <c r="N12" s="65" t="s">
        <v>147</v>
      </c>
      <c r="O12" s="66" t="s">
        <v>159</v>
      </c>
      <c r="P12" s="67" t="s">
        <v>160</v>
      </c>
    </row>
    <row r="13" spans="1:16" ht="12.75" customHeight="1" thickBot="1">
      <c r="A13" s="12" t="str">
        <f t="shared" si="0"/>
        <v>IBVS 4888 </v>
      </c>
      <c r="B13" s="18" t="str">
        <f t="shared" si="1"/>
        <v>II</v>
      </c>
      <c r="C13" s="12">
        <f t="shared" si="2"/>
        <v>50961.435799999999</v>
      </c>
      <c r="D13" s="16" t="str">
        <f t="shared" si="3"/>
        <v>vis</v>
      </c>
      <c r="E13" s="63">
        <f>VLOOKUP(C13,Active!C$21:E$973,3,FALSE)</f>
        <v>13546.026331750794</v>
      </c>
      <c r="F13" s="18" t="s">
        <v>69</v>
      </c>
      <c r="G13" s="16" t="str">
        <f t="shared" si="4"/>
        <v>50961.4358</v>
      </c>
      <c r="H13" s="12">
        <f t="shared" si="5"/>
        <v>13547.5</v>
      </c>
      <c r="I13" s="64" t="s">
        <v>168</v>
      </c>
      <c r="J13" s="65" t="s">
        <v>169</v>
      </c>
      <c r="K13" s="64">
        <v>13547.5</v>
      </c>
      <c r="L13" s="64" t="s">
        <v>170</v>
      </c>
      <c r="M13" s="65" t="s">
        <v>146</v>
      </c>
      <c r="N13" s="65" t="s">
        <v>147</v>
      </c>
      <c r="O13" s="66" t="s">
        <v>159</v>
      </c>
      <c r="P13" s="67" t="s">
        <v>171</v>
      </c>
    </row>
    <row r="14" spans="1:16" ht="12.75" customHeight="1" thickBot="1">
      <c r="A14" s="12" t="str">
        <f t="shared" si="0"/>
        <v>BAVM 132 </v>
      </c>
      <c r="B14" s="18" t="str">
        <f t="shared" si="1"/>
        <v>II</v>
      </c>
      <c r="C14" s="12">
        <f t="shared" si="2"/>
        <v>51464.544600000001</v>
      </c>
      <c r="D14" s="16" t="str">
        <f t="shared" si="3"/>
        <v>vis</v>
      </c>
      <c r="E14" s="63">
        <f>VLOOKUP(C14,Active!C$21:E$973,3,FALSE)</f>
        <v>13975.030533292098</v>
      </c>
      <c r="F14" s="18" t="s">
        <v>69</v>
      </c>
      <c r="G14" s="16" t="str">
        <f t="shared" si="4"/>
        <v>51464.5446</v>
      </c>
      <c r="H14" s="12">
        <f t="shared" si="5"/>
        <v>13976.5</v>
      </c>
      <c r="I14" s="64" t="s">
        <v>176</v>
      </c>
      <c r="J14" s="65" t="s">
        <v>177</v>
      </c>
      <c r="K14" s="64">
        <v>13976.5</v>
      </c>
      <c r="L14" s="64" t="s">
        <v>178</v>
      </c>
      <c r="M14" s="65" t="s">
        <v>146</v>
      </c>
      <c r="N14" s="65" t="s">
        <v>179</v>
      </c>
      <c r="O14" s="66" t="s">
        <v>180</v>
      </c>
      <c r="P14" s="67" t="s">
        <v>181</v>
      </c>
    </row>
    <row r="15" spans="1:16" ht="12.75" customHeight="1" thickBot="1">
      <c r="A15" s="12" t="str">
        <f t="shared" si="0"/>
        <v>BAVM 132 </v>
      </c>
      <c r="B15" s="18" t="str">
        <f t="shared" si="1"/>
        <v>II</v>
      </c>
      <c r="C15" s="12">
        <f t="shared" si="2"/>
        <v>51471.580099999999</v>
      </c>
      <c r="D15" s="16" t="str">
        <f t="shared" si="3"/>
        <v>vis</v>
      </c>
      <c r="E15" s="63">
        <f>VLOOKUP(C15,Active!C$21:E$973,3,FALSE)</f>
        <v>13981.029750677966</v>
      </c>
      <c r="F15" s="18" t="s">
        <v>69</v>
      </c>
      <c r="G15" s="16" t="str">
        <f t="shared" si="4"/>
        <v>51471.5801</v>
      </c>
      <c r="H15" s="12">
        <f t="shared" si="5"/>
        <v>13982.5</v>
      </c>
      <c r="I15" s="64" t="s">
        <v>182</v>
      </c>
      <c r="J15" s="65" t="s">
        <v>183</v>
      </c>
      <c r="K15" s="64">
        <v>13982.5</v>
      </c>
      <c r="L15" s="64" t="s">
        <v>184</v>
      </c>
      <c r="M15" s="65" t="s">
        <v>146</v>
      </c>
      <c r="N15" s="65" t="s">
        <v>179</v>
      </c>
      <c r="O15" s="66" t="s">
        <v>180</v>
      </c>
      <c r="P15" s="67" t="s">
        <v>181</v>
      </c>
    </row>
    <row r="16" spans="1:16" ht="12.75" customHeight="1" thickBot="1">
      <c r="A16" s="12" t="str">
        <f t="shared" si="0"/>
        <v>IBVS 5263 </v>
      </c>
      <c r="B16" s="18" t="str">
        <f t="shared" si="1"/>
        <v>II</v>
      </c>
      <c r="C16" s="12">
        <f t="shared" si="2"/>
        <v>51484.482600000003</v>
      </c>
      <c r="D16" s="16" t="str">
        <f t="shared" si="3"/>
        <v>vis</v>
      </c>
      <c r="E16" s="63">
        <f>VLOOKUP(C16,Active!C$21:E$973,3,FALSE)</f>
        <v>13992.031797770738</v>
      </c>
      <c r="F16" s="18" t="s">
        <v>69</v>
      </c>
      <c r="G16" s="16" t="str">
        <f t="shared" si="4"/>
        <v>51484.4826</v>
      </c>
      <c r="H16" s="12">
        <f t="shared" si="5"/>
        <v>13993.5</v>
      </c>
      <c r="I16" s="64" t="s">
        <v>185</v>
      </c>
      <c r="J16" s="65" t="s">
        <v>186</v>
      </c>
      <c r="K16" s="64">
        <v>13993.5</v>
      </c>
      <c r="L16" s="64" t="s">
        <v>187</v>
      </c>
      <c r="M16" s="65" t="s">
        <v>146</v>
      </c>
      <c r="N16" s="65" t="s">
        <v>147</v>
      </c>
      <c r="O16" s="66" t="s">
        <v>159</v>
      </c>
      <c r="P16" s="67" t="s">
        <v>188</v>
      </c>
    </row>
    <row r="17" spans="1:16" ht="12.75" customHeight="1" thickBot="1">
      <c r="A17" s="12" t="str">
        <f t="shared" si="0"/>
        <v>IBVS 5263 </v>
      </c>
      <c r="B17" s="18" t="str">
        <f t="shared" si="1"/>
        <v>II</v>
      </c>
      <c r="C17" s="12">
        <f t="shared" si="2"/>
        <v>51518.494899999998</v>
      </c>
      <c r="D17" s="16" t="str">
        <f t="shared" si="3"/>
        <v>vis</v>
      </c>
      <c r="E17" s="63">
        <f>VLOOKUP(C17,Active!C$21:E$973,3,FALSE)</f>
        <v>14021.034310952939</v>
      </c>
      <c r="F17" s="18" t="s">
        <v>69</v>
      </c>
      <c r="G17" s="16" t="str">
        <f t="shared" si="4"/>
        <v>51518.4949</v>
      </c>
      <c r="H17" s="12">
        <f t="shared" si="5"/>
        <v>14022.5</v>
      </c>
      <c r="I17" s="64" t="s">
        <v>189</v>
      </c>
      <c r="J17" s="65" t="s">
        <v>190</v>
      </c>
      <c r="K17" s="64">
        <v>14022.5</v>
      </c>
      <c r="L17" s="64" t="s">
        <v>191</v>
      </c>
      <c r="M17" s="65" t="s">
        <v>146</v>
      </c>
      <c r="N17" s="65" t="s">
        <v>147</v>
      </c>
      <c r="O17" s="66" t="s">
        <v>192</v>
      </c>
      <c r="P17" s="67" t="s">
        <v>188</v>
      </c>
    </row>
    <row r="18" spans="1:16" ht="12.75" customHeight="1" thickBot="1">
      <c r="A18" s="12" t="str">
        <f t="shared" si="0"/>
        <v>OEJV 0074 </v>
      </c>
      <c r="B18" s="18" t="str">
        <f t="shared" si="1"/>
        <v>II</v>
      </c>
      <c r="C18" s="12">
        <f t="shared" si="2"/>
        <v>52156.459239999996</v>
      </c>
      <c r="D18" s="16" t="str">
        <f t="shared" si="3"/>
        <v>vis</v>
      </c>
      <c r="E18" s="63">
        <f>VLOOKUP(C18,Active!C$21:E$973,3,FALSE)</f>
        <v>14565.030723445669</v>
      </c>
      <c r="F18" s="18" t="s">
        <v>69</v>
      </c>
      <c r="G18" s="16" t="str">
        <f t="shared" si="4"/>
        <v>52156.45924</v>
      </c>
      <c r="H18" s="12">
        <f t="shared" si="5"/>
        <v>14566.5</v>
      </c>
      <c r="I18" s="64" t="s">
        <v>202</v>
      </c>
      <c r="J18" s="65" t="s">
        <v>203</v>
      </c>
      <c r="K18" s="64">
        <v>14566.5</v>
      </c>
      <c r="L18" s="64" t="s">
        <v>204</v>
      </c>
      <c r="M18" s="65" t="s">
        <v>205</v>
      </c>
      <c r="N18" s="65" t="s">
        <v>179</v>
      </c>
      <c r="O18" s="66" t="s">
        <v>206</v>
      </c>
      <c r="P18" s="67" t="s">
        <v>207</v>
      </c>
    </row>
    <row r="19" spans="1:16" ht="12.75" customHeight="1" thickBot="1">
      <c r="A19" s="12" t="str">
        <f t="shared" si="0"/>
        <v> JAAVSO 41;122 </v>
      </c>
      <c r="B19" s="18" t="str">
        <f t="shared" si="1"/>
        <v>II</v>
      </c>
      <c r="C19" s="12">
        <f t="shared" si="2"/>
        <v>52592.717199999999</v>
      </c>
      <c r="D19" s="16" t="str">
        <f t="shared" si="3"/>
        <v>vis</v>
      </c>
      <c r="E19" s="63">
        <f>VLOOKUP(C19,Active!C$21:E$973,3,FALSE)</f>
        <v>14937.030771538324</v>
      </c>
      <c r="F19" s="18" t="s">
        <v>69</v>
      </c>
      <c r="G19" s="16" t="str">
        <f t="shared" si="4"/>
        <v>52592.7172</v>
      </c>
      <c r="H19" s="12">
        <f t="shared" si="5"/>
        <v>14938.5</v>
      </c>
      <c r="I19" s="64" t="s">
        <v>208</v>
      </c>
      <c r="J19" s="65" t="s">
        <v>209</v>
      </c>
      <c r="K19" s="64">
        <v>14938.5</v>
      </c>
      <c r="L19" s="64" t="s">
        <v>210</v>
      </c>
      <c r="M19" s="65" t="s">
        <v>205</v>
      </c>
      <c r="N19" s="65" t="s">
        <v>124</v>
      </c>
      <c r="O19" s="66" t="s">
        <v>211</v>
      </c>
      <c r="P19" s="66" t="s">
        <v>212</v>
      </c>
    </row>
    <row r="20" spans="1:16" ht="12.75" customHeight="1" thickBot="1">
      <c r="A20" s="12" t="str">
        <f t="shared" si="0"/>
        <v>BAVM 178 </v>
      </c>
      <c r="B20" s="18" t="str">
        <f t="shared" si="1"/>
        <v>I</v>
      </c>
      <c r="C20" s="12">
        <f t="shared" si="2"/>
        <v>53653.4542</v>
      </c>
      <c r="D20" s="16" t="str">
        <f t="shared" si="3"/>
        <v>vis</v>
      </c>
      <c r="E20" s="63">
        <f>VLOOKUP(C20,Active!C$21:E$973,3,FALSE)</f>
        <v>15841.528227616047</v>
      </c>
      <c r="F20" s="18" t="s">
        <v>69</v>
      </c>
      <c r="G20" s="16" t="str">
        <f t="shared" si="4"/>
        <v>53653.4542</v>
      </c>
      <c r="H20" s="12">
        <f t="shared" si="5"/>
        <v>15843</v>
      </c>
      <c r="I20" s="64" t="s">
        <v>213</v>
      </c>
      <c r="J20" s="65" t="s">
        <v>214</v>
      </c>
      <c r="K20" s="64">
        <v>15843</v>
      </c>
      <c r="L20" s="64" t="s">
        <v>215</v>
      </c>
      <c r="M20" s="65" t="s">
        <v>205</v>
      </c>
      <c r="N20" s="65" t="s">
        <v>216</v>
      </c>
      <c r="O20" s="66" t="s">
        <v>217</v>
      </c>
      <c r="P20" s="67" t="s">
        <v>218</v>
      </c>
    </row>
    <row r="21" spans="1:16" ht="12.75" customHeight="1" thickBot="1">
      <c r="A21" s="12" t="str">
        <f t="shared" si="0"/>
        <v>BAVM 178 </v>
      </c>
      <c r="B21" s="18" t="str">
        <f t="shared" si="1"/>
        <v>II</v>
      </c>
      <c r="C21" s="12">
        <f t="shared" si="2"/>
        <v>53717.373899999999</v>
      </c>
      <c r="D21" s="16" t="str">
        <f t="shared" si="3"/>
        <v>vis</v>
      </c>
      <c r="E21" s="63">
        <f>VLOOKUP(C21,Active!C$21:E$973,3,FALSE)</f>
        <v>15896.032978598854</v>
      </c>
      <c r="F21" s="18" t="s">
        <v>69</v>
      </c>
      <c r="G21" s="16" t="str">
        <f t="shared" si="4"/>
        <v>53717.3739</v>
      </c>
      <c r="H21" s="12">
        <f t="shared" si="5"/>
        <v>15897.5</v>
      </c>
      <c r="I21" s="64" t="s">
        <v>219</v>
      </c>
      <c r="J21" s="65" t="s">
        <v>220</v>
      </c>
      <c r="K21" s="64" t="s">
        <v>221</v>
      </c>
      <c r="L21" s="64" t="s">
        <v>222</v>
      </c>
      <c r="M21" s="65" t="s">
        <v>205</v>
      </c>
      <c r="N21" s="65" t="s">
        <v>216</v>
      </c>
      <c r="O21" s="66" t="s">
        <v>217</v>
      </c>
      <c r="P21" s="67" t="s">
        <v>218</v>
      </c>
    </row>
    <row r="22" spans="1:16" ht="12.75" customHeight="1" thickBot="1">
      <c r="A22" s="12" t="str">
        <f t="shared" si="0"/>
        <v>BAVM 178 </v>
      </c>
      <c r="B22" s="18" t="str">
        <f t="shared" si="1"/>
        <v>I</v>
      </c>
      <c r="C22" s="12">
        <f t="shared" si="2"/>
        <v>53768.388800000001</v>
      </c>
      <c r="D22" s="16" t="str">
        <f t="shared" si="3"/>
        <v>vis</v>
      </c>
      <c r="E22" s="63">
        <f>VLOOKUP(C22,Active!C$21:E$973,3,FALSE)</f>
        <v>15939.533721263682</v>
      </c>
      <c r="F22" s="18" t="s">
        <v>69</v>
      </c>
      <c r="G22" s="16" t="str">
        <f t="shared" si="4"/>
        <v>53768.3888</v>
      </c>
      <c r="H22" s="12">
        <f t="shared" si="5"/>
        <v>15941</v>
      </c>
      <c r="I22" s="64" t="s">
        <v>223</v>
      </c>
      <c r="J22" s="65" t="s">
        <v>224</v>
      </c>
      <c r="K22" s="64" t="s">
        <v>225</v>
      </c>
      <c r="L22" s="64" t="s">
        <v>226</v>
      </c>
      <c r="M22" s="65" t="s">
        <v>205</v>
      </c>
      <c r="N22" s="65" t="s">
        <v>216</v>
      </c>
      <c r="O22" s="66" t="s">
        <v>217</v>
      </c>
      <c r="P22" s="67" t="s">
        <v>218</v>
      </c>
    </row>
    <row r="23" spans="1:16" ht="12.75" customHeight="1" thickBot="1">
      <c r="A23" s="12" t="str">
        <f t="shared" si="0"/>
        <v>BAVM 183 </v>
      </c>
      <c r="B23" s="18" t="str">
        <f t="shared" si="1"/>
        <v>II</v>
      </c>
      <c r="C23" s="12">
        <f t="shared" si="2"/>
        <v>53990.6201</v>
      </c>
      <c r="D23" s="16" t="str">
        <f t="shared" si="3"/>
        <v>vis</v>
      </c>
      <c r="E23" s="63">
        <f>VLOOKUP(C23,Active!C$21:E$973,3,FALSE)</f>
        <v>16129.031820708544</v>
      </c>
      <c r="F23" s="18" t="s">
        <v>69</v>
      </c>
      <c r="G23" s="16" t="str">
        <f t="shared" si="4"/>
        <v>53990.6201</v>
      </c>
      <c r="H23" s="12">
        <f t="shared" si="5"/>
        <v>16130.5</v>
      </c>
      <c r="I23" s="64" t="s">
        <v>227</v>
      </c>
      <c r="J23" s="65" t="s">
        <v>228</v>
      </c>
      <c r="K23" s="64" t="s">
        <v>229</v>
      </c>
      <c r="L23" s="64" t="s">
        <v>187</v>
      </c>
      <c r="M23" s="65" t="s">
        <v>205</v>
      </c>
      <c r="N23" s="65" t="s">
        <v>216</v>
      </c>
      <c r="O23" s="66" t="s">
        <v>217</v>
      </c>
      <c r="P23" s="67" t="s">
        <v>230</v>
      </c>
    </row>
    <row r="24" spans="1:16" ht="12.75" customHeight="1" thickBot="1">
      <c r="A24" s="12" t="str">
        <f t="shared" si="0"/>
        <v>BAVM 183 </v>
      </c>
      <c r="B24" s="18" t="str">
        <f t="shared" si="1"/>
        <v>II</v>
      </c>
      <c r="C24" s="12">
        <f t="shared" si="2"/>
        <v>54002.347000000002</v>
      </c>
      <c r="D24" s="16" t="str">
        <f t="shared" si="3"/>
        <v>vis</v>
      </c>
      <c r="E24" s="63">
        <f>VLOOKUP(C24,Active!C$21:E$973,3,FALSE)</f>
        <v>16139.031425905383</v>
      </c>
      <c r="F24" s="18" t="s">
        <v>69</v>
      </c>
      <c r="G24" s="16" t="str">
        <f t="shared" si="4"/>
        <v>54002.3470</v>
      </c>
      <c r="H24" s="12">
        <f t="shared" si="5"/>
        <v>16140.5</v>
      </c>
      <c r="I24" s="64" t="s">
        <v>231</v>
      </c>
      <c r="J24" s="65" t="s">
        <v>232</v>
      </c>
      <c r="K24" s="64" t="s">
        <v>233</v>
      </c>
      <c r="L24" s="64" t="s">
        <v>234</v>
      </c>
      <c r="M24" s="65" t="s">
        <v>205</v>
      </c>
      <c r="N24" s="65" t="s">
        <v>216</v>
      </c>
      <c r="O24" s="66" t="s">
        <v>217</v>
      </c>
      <c r="P24" s="67" t="s">
        <v>230</v>
      </c>
    </row>
    <row r="25" spans="1:16" ht="12.75" customHeight="1" thickBot="1">
      <c r="A25" s="12" t="str">
        <f t="shared" si="0"/>
        <v>BAVM 183 </v>
      </c>
      <c r="B25" s="18" t="str">
        <f t="shared" si="1"/>
        <v>II</v>
      </c>
      <c r="C25" s="12">
        <f t="shared" si="2"/>
        <v>54003.520900000003</v>
      </c>
      <c r="D25" s="16" t="str">
        <f t="shared" si="3"/>
        <v>vis</v>
      </c>
      <c r="E25" s="63">
        <f>VLOOKUP(C25,Active!C$21:E$973,3,FALSE)</f>
        <v>16140.032418200071</v>
      </c>
      <c r="F25" s="18" t="s">
        <v>69</v>
      </c>
      <c r="G25" s="16" t="str">
        <f t="shared" si="4"/>
        <v>54003.5209</v>
      </c>
      <c r="H25" s="12">
        <f t="shared" si="5"/>
        <v>16141.5</v>
      </c>
      <c r="I25" s="64" t="s">
        <v>235</v>
      </c>
      <c r="J25" s="65" t="s">
        <v>236</v>
      </c>
      <c r="K25" s="64" t="s">
        <v>237</v>
      </c>
      <c r="L25" s="64" t="s">
        <v>238</v>
      </c>
      <c r="M25" s="65" t="s">
        <v>205</v>
      </c>
      <c r="N25" s="65" t="s">
        <v>216</v>
      </c>
      <c r="O25" s="66" t="s">
        <v>217</v>
      </c>
      <c r="P25" s="67" t="s">
        <v>230</v>
      </c>
    </row>
    <row r="26" spans="1:16" ht="12.75" customHeight="1" thickBot="1">
      <c r="A26" s="12" t="str">
        <f t="shared" si="0"/>
        <v>BAVM 183 </v>
      </c>
      <c r="B26" s="18" t="str">
        <f t="shared" si="1"/>
        <v>I</v>
      </c>
      <c r="C26" s="12">
        <f t="shared" si="2"/>
        <v>54020.528899999998</v>
      </c>
      <c r="D26" s="16" t="str">
        <f t="shared" si="3"/>
        <v>vis</v>
      </c>
      <c r="E26" s="63">
        <f>VLOOKUP(C26,Active!C$21:E$973,3,FALSE)</f>
        <v>16154.535252298405</v>
      </c>
      <c r="F26" s="18" t="s">
        <v>69</v>
      </c>
      <c r="G26" s="16" t="str">
        <f t="shared" si="4"/>
        <v>54020.5289</v>
      </c>
      <c r="H26" s="12">
        <f t="shared" si="5"/>
        <v>16156</v>
      </c>
      <c r="I26" s="64" t="s">
        <v>239</v>
      </c>
      <c r="J26" s="65" t="s">
        <v>240</v>
      </c>
      <c r="K26" s="64" t="s">
        <v>241</v>
      </c>
      <c r="L26" s="64" t="s">
        <v>242</v>
      </c>
      <c r="M26" s="65" t="s">
        <v>205</v>
      </c>
      <c r="N26" s="65" t="s">
        <v>216</v>
      </c>
      <c r="O26" s="66" t="s">
        <v>217</v>
      </c>
      <c r="P26" s="67" t="s">
        <v>230</v>
      </c>
    </row>
    <row r="27" spans="1:16" ht="12.75" customHeight="1" thickBot="1">
      <c r="A27" s="12" t="str">
        <f t="shared" si="0"/>
        <v>BAVM 201 </v>
      </c>
      <c r="B27" s="18" t="str">
        <f t="shared" si="1"/>
        <v>I</v>
      </c>
      <c r="C27" s="12">
        <f t="shared" si="2"/>
        <v>54454.441400000003</v>
      </c>
      <c r="D27" s="16" t="str">
        <f t="shared" si="3"/>
        <v>vis</v>
      </c>
      <c r="E27" s="63">
        <f>VLOOKUP(C27,Active!C$21:E$973,3,FALSE)</f>
        <v>16524.535311135165</v>
      </c>
      <c r="F27" s="18" t="s">
        <v>69</v>
      </c>
      <c r="G27" s="16" t="str">
        <f t="shared" si="4"/>
        <v>54454.4414</v>
      </c>
      <c r="H27" s="12">
        <f t="shared" si="5"/>
        <v>16526</v>
      </c>
      <c r="I27" s="64" t="s">
        <v>248</v>
      </c>
      <c r="J27" s="65" t="s">
        <v>249</v>
      </c>
      <c r="K27" s="64" t="s">
        <v>250</v>
      </c>
      <c r="L27" s="64" t="s">
        <v>251</v>
      </c>
      <c r="M27" s="65" t="s">
        <v>205</v>
      </c>
      <c r="N27" s="65" t="s">
        <v>216</v>
      </c>
      <c r="O27" s="66" t="s">
        <v>217</v>
      </c>
      <c r="P27" s="67" t="s">
        <v>252</v>
      </c>
    </row>
    <row r="28" spans="1:16" ht="12.75" customHeight="1" thickBot="1">
      <c r="A28" s="12" t="str">
        <f t="shared" si="0"/>
        <v>BAVM 209 </v>
      </c>
      <c r="B28" s="18" t="str">
        <f t="shared" si="1"/>
        <v>II</v>
      </c>
      <c r="C28" s="12">
        <f t="shared" si="2"/>
        <v>54830.301099999997</v>
      </c>
      <c r="D28" s="16" t="str">
        <f t="shared" si="3"/>
        <v>vis</v>
      </c>
      <c r="E28" s="63">
        <f>VLOOKUP(C28,Active!C$21:E$973,3,FALSE)</f>
        <v>16845.033363425347</v>
      </c>
      <c r="F28" s="18" t="s">
        <v>69</v>
      </c>
      <c r="G28" s="16" t="str">
        <f t="shared" si="4"/>
        <v>54830.3011</v>
      </c>
      <c r="H28" s="12">
        <f t="shared" si="5"/>
        <v>16846.5</v>
      </c>
      <c r="I28" s="64" t="s">
        <v>253</v>
      </c>
      <c r="J28" s="65" t="s">
        <v>254</v>
      </c>
      <c r="K28" s="64" t="s">
        <v>255</v>
      </c>
      <c r="L28" s="64" t="s">
        <v>256</v>
      </c>
      <c r="M28" s="65" t="s">
        <v>205</v>
      </c>
      <c r="N28" s="65" t="s">
        <v>216</v>
      </c>
      <c r="O28" s="66" t="s">
        <v>217</v>
      </c>
      <c r="P28" s="67" t="s">
        <v>257</v>
      </c>
    </row>
    <row r="29" spans="1:16" ht="12.75" customHeight="1" thickBot="1">
      <c r="A29" s="12" t="str">
        <f t="shared" si="0"/>
        <v>BAVM 209 </v>
      </c>
      <c r="B29" s="18" t="str">
        <f t="shared" si="1"/>
        <v>I</v>
      </c>
      <c r="C29" s="12">
        <f t="shared" si="2"/>
        <v>54840.272599999997</v>
      </c>
      <c r="D29" s="16" t="str">
        <f t="shared" si="3"/>
        <v>vis</v>
      </c>
      <c r="E29" s="63">
        <f>VLOOKUP(C29,Active!C$21:E$973,3,FALSE)</f>
        <v>16853.536127431202</v>
      </c>
      <c r="F29" s="18" t="s">
        <v>69</v>
      </c>
      <c r="G29" s="16" t="str">
        <f t="shared" si="4"/>
        <v>54840.2726</v>
      </c>
      <c r="H29" s="12">
        <f t="shared" si="5"/>
        <v>16855</v>
      </c>
      <c r="I29" s="64" t="s">
        <v>258</v>
      </c>
      <c r="J29" s="65" t="s">
        <v>259</v>
      </c>
      <c r="K29" s="64" t="s">
        <v>260</v>
      </c>
      <c r="L29" s="64" t="s">
        <v>261</v>
      </c>
      <c r="M29" s="65" t="s">
        <v>205</v>
      </c>
      <c r="N29" s="65" t="s">
        <v>216</v>
      </c>
      <c r="O29" s="66" t="s">
        <v>217</v>
      </c>
      <c r="P29" s="67" t="s">
        <v>257</v>
      </c>
    </row>
    <row r="30" spans="1:16" ht="12.75" customHeight="1" thickBot="1">
      <c r="A30" s="12" t="str">
        <f t="shared" si="0"/>
        <v>BAVM 209 </v>
      </c>
      <c r="B30" s="18" t="str">
        <f t="shared" si="1"/>
        <v>I</v>
      </c>
      <c r="C30" s="12">
        <f t="shared" si="2"/>
        <v>54841.445200000002</v>
      </c>
      <c r="D30" s="16" t="str">
        <f t="shared" si="3"/>
        <v>vis</v>
      </c>
      <c r="E30" s="63">
        <f>VLOOKUP(C30,Active!C$21:E$973,3,FALSE)</f>
        <v>16854.536011207296</v>
      </c>
      <c r="F30" s="18" t="s">
        <v>69</v>
      </c>
      <c r="G30" s="16" t="str">
        <f t="shared" si="4"/>
        <v>54841.4452</v>
      </c>
      <c r="H30" s="12">
        <f t="shared" si="5"/>
        <v>16856</v>
      </c>
      <c r="I30" s="64" t="s">
        <v>262</v>
      </c>
      <c r="J30" s="65" t="s">
        <v>263</v>
      </c>
      <c r="K30" s="64" t="s">
        <v>264</v>
      </c>
      <c r="L30" s="64" t="s">
        <v>265</v>
      </c>
      <c r="M30" s="65" t="s">
        <v>205</v>
      </c>
      <c r="N30" s="65" t="s">
        <v>216</v>
      </c>
      <c r="O30" s="66" t="s">
        <v>217</v>
      </c>
      <c r="P30" s="67" t="s">
        <v>257</v>
      </c>
    </row>
    <row r="31" spans="1:16" ht="12.75" customHeight="1" thickBot="1">
      <c r="A31" s="12" t="str">
        <f t="shared" si="0"/>
        <v>IBVS 5920 </v>
      </c>
      <c r="B31" s="18" t="str">
        <f t="shared" si="1"/>
        <v>II</v>
      </c>
      <c r="C31" s="12">
        <f t="shared" si="2"/>
        <v>55158.665699999998</v>
      </c>
      <c r="D31" s="16" t="str">
        <f t="shared" si="3"/>
        <v>vis</v>
      </c>
      <c r="E31" s="63">
        <f>VLOOKUP(C31,Active!C$21:E$973,3,FALSE)</f>
        <v>17125.032029792204</v>
      </c>
      <c r="F31" s="18" t="s">
        <v>69</v>
      </c>
      <c r="G31" s="16" t="str">
        <f t="shared" si="4"/>
        <v>55158.6657</v>
      </c>
      <c r="H31" s="12">
        <f t="shared" si="5"/>
        <v>17126.5</v>
      </c>
      <c r="I31" s="64" t="s">
        <v>274</v>
      </c>
      <c r="J31" s="65" t="s">
        <v>275</v>
      </c>
      <c r="K31" s="64" t="s">
        <v>276</v>
      </c>
      <c r="L31" s="64" t="s">
        <v>277</v>
      </c>
      <c r="M31" s="65" t="s">
        <v>205</v>
      </c>
      <c r="N31" s="65" t="s">
        <v>69</v>
      </c>
      <c r="O31" s="66" t="s">
        <v>196</v>
      </c>
      <c r="P31" s="67" t="s">
        <v>278</v>
      </c>
    </row>
    <row r="32" spans="1:16" ht="12.75" customHeight="1" thickBot="1">
      <c r="A32" s="12" t="str">
        <f t="shared" si="0"/>
        <v>BAVM 215 </v>
      </c>
      <c r="B32" s="18" t="str">
        <f t="shared" si="1"/>
        <v>II</v>
      </c>
      <c r="C32" s="12">
        <f t="shared" si="2"/>
        <v>55462.407899999998</v>
      </c>
      <c r="D32" s="16" t="str">
        <f t="shared" si="3"/>
        <v>vis</v>
      </c>
      <c r="E32" s="63">
        <f>VLOOKUP(C32,Active!C$21:E$973,3,FALSE)</f>
        <v>17384.035012815752</v>
      </c>
      <c r="F32" s="18" t="s">
        <v>69</v>
      </c>
      <c r="G32" s="16" t="str">
        <f t="shared" si="4"/>
        <v>55462.4079</v>
      </c>
      <c r="H32" s="12">
        <f t="shared" si="5"/>
        <v>17385.5</v>
      </c>
      <c r="I32" s="64" t="s">
        <v>279</v>
      </c>
      <c r="J32" s="65" t="s">
        <v>280</v>
      </c>
      <c r="K32" s="64" t="s">
        <v>281</v>
      </c>
      <c r="L32" s="64" t="s">
        <v>282</v>
      </c>
      <c r="M32" s="65" t="s">
        <v>205</v>
      </c>
      <c r="N32" s="65" t="s">
        <v>216</v>
      </c>
      <c r="O32" s="66" t="s">
        <v>217</v>
      </c>
      <c r="P32" s="67" t="s">
        <v>283</v>
      </c>
    </row>
    <row r="33" spans="1:16" ht="12.75" customHeight="1" thickBot="1">
      <c r="A33" s="12" t="str">
        <f t="shared" si="0"/>
        <v>BAVM 215 </v>
      </c>
      <c r="B33" s="18" t="str">
        <f t="shared" si="1"/>
        <v>I</v>
      </c>
      <c r="C33" s="12">
        <f t="shared" si="2"/>
        <v>55473.549599999998</v>
      </c>
      <c r="D33" s="16" t="str">
        <f t="shared" si="3"/>
        <v>vis</v>
      </c>
      <c r="E33" s="63">
        <f>VLOOKUP(C33,Active!C$21:E$973,3,FALSE)</f>
        <v>17393.535614101824</v>
      </c>
      <c r="F33" s="18" t="s">
        <v>69</v>
      </c>
      <c r="G33" s="16" t="str">
        <f t="shared" si="4"/>
        <v>55473.5496</v>
      </c>
      <c r="H33" s="12">
        <f t="shared" si="5"/>
        <v>17395</v>
      </c>
      <c r="I33" s="64" t="s">
        <v>284</v>
      </c>
      <c r="J33" s="65" t="s">
        <v>285</v>
      </c>
      <c r="K33" s="64" t="s">
        <v>286</v>
      </c>
      <c r="L33" s="64" t="s">
        <v>287</v>
      </c>
      <c r="M33" s="65" t="s">
        <v>205</v>
      </c>
      <c r="N33" s="65" t="s">
        <v>216</v>
      </c>
      <c r="O33" s="66" t="s">
        <v>217</v>
      </c>
      <c r="P33" s="67" t="s">
        <v>283</v>
      </c>
    </row>
    <row r="34" spans="1:16" ht="12.75" customHeight="1" thickBot="1">
      <c r="A34" s="12" t="str">
        <f t="shared" si="0"/>
        <v>IBVS 5960 </v>
      </c>
      <c r="B34" s="18" t="str">
        <f t="shared" si="1"/>
        <v>II</v>
      </c>
      <c r="C34" s="12">
        <f t="shared" si="2"/>
        <v>55511.662700000001</v>
      </c>
      <c r="D34" s="16" t="str">
        <f t="shared" si="3"/>
        <v>vis</v>
      </c>
      <c r="E34" s="63">
        <f>VLOOKUP(C34,Active!C$21:E$973,3,FALSE)</f>
        <v>17426.034906568511</v>
      </c>
      <c r="F34" s="18" t="s">
        <v>69</v>
      </c>
      <c r="G34" s="16" t="str">
        <f t="shared" si="4"/>
        <v>55511.6627</v>
      </c>
      <c r="H34" s="12">
        <f t="shared" si="5"/>
        <v>17427.5</v>
      </c>
      <c r="I34" s="64" t="s">
        <v>288</v>
      </c>
      <c r="J34" s="65" t="s">
        <v>289</v>
      </c>
      <c r="K34" s="64" t="s">
        <v>290</v>
      </c>
      <c r="L34" s="64" t="s">
        <v>291</v>
      </c>
      <c r="M34" s="65" t="s">
        <v>205</v>
      </c>
      <c r="N34" s="65" t="s">
        <v>69</v>
      </c>
      <c r="O34" s="66" t="s">
        <v>196</v>
      </c>
      <c r="P34" s="67" t="s">
        <v>292</v>
      </c>
    </row>
    <row r="35" spans="1:16" ht="12.75" customHeight="1" thickBot="1">
      <c r="A35" s="12" t="str">
        <f t="shared" si="0"/>
        <v>BAVM 215 </v>
      </c>
      <c r="B35" s="18" t="str">
        <f t="shared" si="1"/>
        <v>I</v>
      </c>
      <c r="C35" s="12">
        <f t="shared" si="2"/>
        <v>55514.594299999997</v>
      </c>
      <c r="D35" s="16" t="str">
        <f t="shared" si="3"/>
        <v>vis</v>
      </c>
      <c r="E35" s="63">
        <f>VLOOKUP(C35,Active!C$21:E$973,3,FALSE)</f>
        <v>17428.53470127939</v>
      </c>
      <c r="F35" s="18" t="s">
        <v>69</v>
      </c>
      <c r="G35" s="16" t="str">
        <f t="shared" si="4"/>
        <v>55514.5943</v>
      </c>
      <c r="H35" s="12">
        <f t="shared" si="5"/>
        <v>17430</v>
      </c>
      <c r="I35" s="64" t="s">
        <v>293</v>
      </c>
      <c r="J35" s="65" t="s">
        <v>294</v>
      </c>
      <c r="K35" s="64" t="s">
        <v>295</v>
      </c>
      <c r="L35" s="64" t="s">
        <v>296</v>
      </c>
      <c r="M35" s="65" t="s">
        <v>205</v>
      </c>
      <c r="N35" s="65" t="s">
        <v>216</v>
      </c>
      <c r="O35" s="66" t="s">
        <v>217</v>
      </c>
      <c r="P35" s="67" t="s">
        <v>283</v>
      </c>
    </row>
    <row r="36" spans="1:16" ht="12.75" customHeight="1" thickBot="1">
      <c r="A36" s="12" t="str">
        <f t="shared" si="0"/>
        <v>IBVS 6042 </v>
      </c>
      <c r="B36" s="18" t="str">
        <f t="shared" si="1"/>
        <v>II</v>
      </c>
      <c r="C36" s="12">
        <f t="shared" si="2"/>
        <v>56251.660600000003</v>
      </c>
      <c r="D36" s="16" t="str">
        <f t="shared" si="3"/>
        <v>vis</v>
      </c>
      <c r="E36" s="63">
        <f>VLOOKUP(C36,Active!C$21:E$973,3,FALSE)</f>
        <v>18057.036010567768</v>
      </c>
      <c r="F36" s="18" t="s">
        <v>69</v>
      </c>
      <c r="G36" s="16" t="str">
        <f t="shared" si="4"/>
        <v>56251.6606</v>
      </c>
      <c r="H36" s="12">
        <f t="shared" si="5"/>
        <v>18058.5</v>
      </c>
      <c r="I36" s="64" t="s">
        <v>302</v>
      </c>
      <c r="J36" s="65" t="s">
        <v>303</v>
      </c>
      <c r="K36" s="64" t="s">
        <v>304</v>
      </c>
      <c r="L36" s="64" t="s">
        <v>265</v>
      </c>
      <c r="M36" s="65" t="s">
        <v>205</v>
      </c>
      <c r="N36" s="65" t="s">
        <v>69</v>
      </c>
      <c r="O36" s="66" t="s">
        <v>196</v>
      </c>
      <c r="P36" s="67" t="s">
        <v>305</v>
      </c>
    </row>
    <row r="37" spans="1:16" ht="12.75" customHeight="1" thickBot="1">
      <c r="A37" s="12" t="str">
        <f t="shared" si="0"/>
        <v> PZ 5.162 </v>
      </c>
      <c r="B37" s="18" t="str">
        <f t="shared" si="1"/>
        <v>I</v>
      </c>
      <c r="C37" s="12">
        <f t="shared" si="2"/>
        <v>27775.25</v>
      </c>
      <c r="D37" s="16" t="str">
        <f t="shared" si="3"/>
        <v>vis</v>
      </c>
      <c r="E37" s="63">
        <f>VLOOKUP(C37,Active!C$21:E$973,3,FALSE)</f>
        <v>-6224.9876634670563</v>
      </c>
      <c r="F37" s="18" t="s">
        <v>69</v>
      </c>
      <c r="G37" s="16" t="str">
        <f t="shared" si="4"/>
        <v>27775.25</v>
      </c>
      <c r="H37" s="12">
        <f t="shared" si="5"/>
        <v>-6225</v>
      </c>
      <c r="I37" s="64" t="s">
        <v>72</v>
      </c>
      <c r="J37" s="65" t="s">
        <v>73</v>
      </c>
      <c r="K37" s="64">
        <v>-6225</v>
      </c>
      <c r="L37" s="64" t="s">
        <v>74</v>
      </c>
      <c r="M37" s="65" t="s">
        <v>75</v>
      </c>
      <c r="N37" s="65"/>
      <c r="O37" s="66" t="s">
        <v>76</v>
      </c>
      <c r="P37" s="66" t="s">
        <v>77</v>
      </c>
    </row>
    <row r="38" spans="1:16" ht="12.75" customHeight="1" thickBot="1">
      <c r="A38" s="12" t="str">
        <f t="shared" si="0"/>
        <v> VSS 2.352 </v>
      </c>
      <c r="B38" s="18" t="str">
        <f t="shared" si="1"/>
        <v>I</v>
      </c>
      <c r="C38" s="12">
        <f t="shared" si="2"/>
        <v>27980.451000000001</v>
      </c>
      <c r="D38" s="16" t="str">
        <f t="shared" si="3"/>
        <v>vis</v>
      </c>
      <c r="E38" s="63">
        <f>VLOOKUP(C38,Active!C$21:E$973,3,FALSE)</f>
        <v>-6050.0114134780342</v>
      </c>
      <c r="F38" s="18" t="s">
        <v>69</v>
      </c>
      <c r="G38" s="16" t="str">
        <f t="shared" si="4"/>
        <v>27980.451</v>
      </c>
      <c r="H38" s="12">
        <f t="shared" si="5"/>
        <v>-6050</v>
      </c>
      <c r="I38" s="64" t="s">
        <v>78</v>
      </c>
      <c r="J38" s="65" t="s">
        <v>79</v>
      </c>
      <c r="K38" s="64">
        <v>-6050</v>
      </c>
      <c r="L38" s="64" t="s">
        <v>80</v>
      </c>
      <c r="M38" s="65" t="s">
        <v>75</v>
      </c>
      <c r="N38" s="65"/>
      <c r="O38" s="66" t="s">
        <v>81</v>
      </c>
      <c r="P38" s="66" t="s">
        <v>82</v>
      </c>
    </row>
    <row r="39" spans="1:16" ht="12.75" customHeight="1" thickBot="1">
      <c r="A39" s="12" t="str">
        <f t="shared" si="0"/>
        <v> PZ 5.162 </v>
      </c>
      <c r="B39" s="18" t="str">
        <f t="shared" si="1"/>
        <v>I</v>
      </c>
      <c r="C39" s="12">
        <f t="shared" si="2"/>
        <v>28081.35</v>
      </c>
      <c r="D39" s="16" t="str">
        <f t="shared" si="3"/>
        <v>vis</v>
      </c>
      <c r="E39" s="63">
        <f>VLOOKUP(C39,Active!C$21:E$973,3,FALSE)</f>
        <v>-5963.9741687879896</v>
      </c>
      <c r="F39" s="18" t="s">
        <v>69</v>
      </c>
      <c r="G39" s="16" t="str">
        <f t="shared" si="4"/>
        <v>28081.35</v>
      </c>
      <c r="H39" s="12">
        <f t="shared" si="5"/>
        <v>-5964</v>
      </c>
      <c r="I39" s="64" t="s">
        <v>83</v>
      </c>
      <c r="J39" s="65" t="s">
        <v>84</v>
      </c>
      <c r="K39" s="64">
        <v>-5964</v>
      </c>
      <c r="L39" s="64" t="s">
        <v>85</v>
      </c>
      <c r="M39" s="65" t="s">
        <v>75</v>
      </c>
      <c r="N39" s="65"/>
      <c r="O39" s="66" t="s">
        <v>76</v>
      </c>
      <c r="P39" s="66" t="s">
        <v>77</v>
      </c>
    </row>
    <row r="40" spans="1:16" ht="12.75" customHeight="1" thickBot="1">
      <c r="A40" s="12" t="str">
        <f t="shared" si="0"/>
        <v> PZ 5.162 </v>
      </c>
      <c r="B40" s="18" t="str">
        <f t="shared" si="1"/>
        <v>I</v>
      </c>
      <c r="C40" s="12">
        <f t="shared" si="2"/>
        <v>28576.22</v>
      </c>
      <c r="D40" s="16" t="str">
        <f t="shared" si="3"/>
        <v>vis</v>
      </c>
      <c r="E40" s="63">
        <f>VLOOKUP(C40,Active!C$21:E$973,3,FALSE)</f>
        <v>-5541.9952465017068</v>
      </c>
      <c r="F40" s="18" t="s">
        <v>69</v>
      </c>
      <c r="G40" s="16" t="str">
        <f t="shared" si="4"/>
        <v>28576.22</v>
      </c>
      <c r="H40" s="12">
        <f t="shared" si="5"/>
        <v>-5542</v>
      </c>
      <c r="I40" s="64" t="s">
        <v>86</v>
      </c>
      <c r="J40" s="65" t="s">
        <v>87</v>
      </c>
      <c r="K40" s="64">
        <v>-5542</v>
      </c>
      <c r="L40" s="64" t="s">
        <v>74</v>
      </c>
      <c r="M40" s="65" t="s">
        <v>75</v>
      </c>
      <c r="N40" s="65"/>
      <c r="O40" s="66" t="s">
        <v>76</v>
      </c>
      <c r="P40" s="66" t="s">
        <v>77</v>
      </c>
    </row>
    <row r="41" spans="1:16" ht="12.75" customHeight="1" thickBot="1">
      <c r="A41" s="12" t="str">
        <f t="shared" si="0"/>
        <v> PZ 12.71 </v>
      </c>
      <c r="B41" s="18" t="str">
        <f t="shared" si="1"/>
        <v>I</v>
      </c>
      <c r="C41" s="12">
        <f t="shared" si="2"/>
        <v>29521.495999999999</v>
      </c>
      <c r="D41" s="16" t="str">
        <f t="shared" si="3"/>
        <v>vis</v>
      </c>
      <c r="E41" s="63">
        <f>VLOOKUP(C41,Active!C$21:E$973,3,FALSE)</f>
        <v>-4735.9521488334603</v>
      </c>
      <c r="F41" s="18" t="s">
        <v>69</v>
      </c>
      <c r="G41" s="16" t="str">
        <f t="shared" si="4"/>
        <v>29521.496</v>
      </c>
      <c r="H41" s="12">
        <f t="shared" si="5"/>
        <v>-4736</v>
      </c>
      <c r="I41" s="64" t="s">
        <v>88</v>
      </c>
      <c r="J41" s="65" t="s">
        <v>89</v>
      </c>
      <c r="K41" s="64">
        <v>-4736</v>
      </c>
      <c r="L41" s="64" t="s">
        <v>90</v>
      </c>
      <c r="M41" s="65" t="s">
        <v>75</v>
      </c>
      <c r="N41" s="65"/>
      <c r="O41" s="66" t="s">
        <v>91</v>
      </c>
      <c r="P41" s="66" t="s">
        <v>92</v>
      </c>
    </row>
    <row r="42" spans="1:16" ht="12.75" customHeight="1" thickBot="1">
      <c r="A42" s="12" t="str">
        <f t="shared" si="0"/>
        <v> VSS 2.352 </v>
      </c>
      <c r="B42" s="18" t="str">
        <f t="shared" si="1"/>
        <v>I</v>
      </c>
      <c r="C42" s="12">
        <f t="shared" si="2"/>
        <v>29574.233</v>
      </c>
      <c r="D42" s="16" t="str">
        <f t="shared" si="3"/>
        <v>vis</v>
      </c>
      <c r="E42" s="63">
        <f>VLOOKUP(C42,Active!C$21:E$973,3,FALSE)</f>
        <v>-4690.9829601079118</v>
      </c>
      <c r="F42" s="18" t="s">
        <v>69</v>
      </c>
      <c r="G42" s="16" t="str">
        <f t="shared" si="4"/>
        <v>29574.233</v>
      </c>
      <c r="H42" s="12">
        <f t="shared" si="5"/>
        <v>-4691</v>
      </c>
      <c r="I42" s="64" t="s">
        <v>93</v>
      </c>
      <c r="J42" s="65" t="s">
        <v>94</v>
      </c>
      <c r="K42" s="64">
        <v>-4691</v>
      </c>
      <c r="L42" s="64" t="s">
        <v>95</v>
      </c>
      <c r="M42" s="65" t="s">
        <v>75</v>
      </c>
      <c r="N42" s="65"/>
      <c r="O42" s="66" t="s">
        <v>81</v>
      </c>
      <c r="P42" s="66" t="s">
        <v>82</v>
      </c>
    </row>
    <row r="43" spans="1:16" ht="12.75" customHeight="1" thickBot="1">
      <c r="A43" s="12" t="str">
        <f t="shared" ref="A43:A66" si="6">P43</f>
        <v> VSS 2.352 </v>
      </c>
      <c r="B43" s="18" t="str">
        <f t="shared" ref="B43:B66" si="7">IF(H43=INT(H43),"I","II")</f>
        <v>I</v>
      </c>
      <c r="C43" s="12">
        <f t="shared" ref="C43:C66" si="8">1*G43</f>
        <v>29901.398000000001</v>
      </c>
      <c r="D43" s="16" t="str">
        <f t="shared" ref="D43:D66" si="9">VLOOKUP(F43,I$1:J$5,2,FALSE)</f>
        <v>vis</v>
      </c>
      <c r="E43" s="63">
        <f>VLOOKUP(C43,Active!C$21:E$973,3,FALSE)</f>
        <v>-4412.0072005957345</v>
      </c>
      <c r="F43" s="18" t="s">
        <v>69</v>
      </c>
      <c r="G43" s="16" t="str">
        <f t="shared" ref="G43:G66" si="10">MID(I43,3,LEN(I43)-3)</f>
        <v>29901.398</v>
      </c>
      <c r="H43" s="12">
        <f t="shared" ref="H43:H66" si="11">1*K43</f>
        <v>-4412</v>
      </c>
      <c r="I43" s="64" t="s">
        <v>96</v>
      </c>
      <c r="J43" s="65" t="s">
        <v>97</v>
      </c>
      <c r="K43" s="64">
        <v>-4412</v>
      </c>
      <c r="L43" s="64" t="s">
        <v>98</v>
      </c>
      <c r="M43" s="65" t="s">
        <v>75</v>
      </c>
      <c r="N43" s="65"/>
      <c r="O43" s="66" t="s">
        <v>81</v>
      </c>
      <c r="P43" s="66" t="s">
        <v>82</v>
      </c>
    </row>
    <row r="44" spans="1:16" ht="12.75" customHeight="1" thickBot="1">
      <c r="A44" s="12" t="str">
        <f t="shared" si="6"/>
        <v> PZ 12.71 </v>
      </c>
      <c r="B44" s="18" t="str">
        <f t="shared" si="7"/>
        <v>I</v>
      </c>
      <c r="C44" s="12">
        <f t="shared" si="8"/>
        <v>33153.379000000001</v>
      </c>
      <c r="D44" s="16" t="str">
        <f t="shared" si="9"/>
        <v>vis</v>
      </c>
      <c r="E44" s="63">
        <f>VLOOKUP(C44,Active!C$21:E$973,3,FALSE)</f>
        <v>-1639.0214918733218</v>
      </c>
      <c r="F44" s="18" t="s">
        <v>69</v>
      </c>
      <c r="G44" s="16" t="str">
        <f t="shared" si="10"/>
        <v>33153.379</v>
      </c>
      <c r="H44" s="12">
        <f t="shared" si="11"/>
        <v>-1639</v>
      </c>
      <c r="I44" s="64" t="s">
        <v>99</v>
      </c>
      <c r="J44" s="65" t="s">
        <v>100</v>
      </c>
      <c r="K44" s="64">
        <v>-1639</v>
      </c>
      <c r="L44" s="64" t="s">
        <v>101</v>
      </c>
      <c r="M44" s="65" t="s">
        <v>75</v>
      </c>
      <c r="N44" s="65"/>
      <c r="O44" s="66" t="s">
        <v>91</v>
      </c>
      <c r="P44" s="66" t="s">
        <v>92</v>
      </c>
    </row>
    <row r="45" spans="1:16" ht="12.75" customHeight="1" thickBot="1">
      <c r="A45" s="12" t="str">
        <f t="shared" si="6"/>
        <v> PZ 12.71 </v>
      </c>
      <c r="B45" s="18" t="str">
        <f t="shared" si="7"/>
        <v>I</v>
      </c>
      <c r="C45" s="12">
        <f t="shared" si="8"/>
        <v>33181.555</v>
      </c>
      <c r="D45" s="16" t="str">
        <f t="shared" si="9"/>
        <v>vis</v>
      </c>
      <c r="E45" s="63">
        <f>VLOOKUP(C45,Active!C$21:E$973,3,FALSE)</f>
        <v>-1614.9956303049544</v>
      </c>
      <c r="F45" s="18" t="s">
        <v>69</v>
      </c>
      <c r="G45" s="16" t="str">
        <f t="shared" si="10"/>
        <v>33181.555</v>
      </c>
      <c r="H45" s="12">
        <f t="shared" si="11"/>
        <v>-1615</v>
      </c>
      <c r="I45" s="64" t="s">
        <v>102</v>
      </c>
      <c r="J45" s="65" t="s">
        <v>103</v>
      </c>
      <c r="K45" s="64">
        <v>-1615</v>
      </c>
      <c r="L45" s="64" t="s">
        <v>104</v>
      </c>
      <c r="M45" s="65" t="s">
        <v>75</v>
      </c>
      <c r="N45" s="65"/>
      <c r="O45" s="66" t="s">
        <v>91</v>
      </c>
      <c r="P45" s="66" t="s">
        <v>92</v>
      </c>
    </row>
    <row r="46" spans="1:16" ht="12.75" customHeight="1" thickBot="1">
      <c r="A46" s="12" t="str">
        <f t="shared" si="6"/>
        <v> PZ 12.71 </v>
      </c>
      <c r="B46" s="18" t="str">
        <f t="shared" si="7"/>
        <v>I</v>
      </c>
      <c r="C46" s="12">
        <f t="shared" si="8"/>
        <v>33214.402999999998</v>
      </c>
      <c r="D46" s="16" t="str">
        <f t="shared" si="9"/>
        <v>vis</v>
      </c>
      <c r="E46" s="63">
        <f>VLOOKUP(C46,Active!C$21:E$973,3,FALSE)</f>
        <v>-1586.9859234339399</v>
      </c>
      <c r="F46" s="18" t="s">
        <v>69</v>
      </c>
      <c r="G46" s="16" t="str">
        <f t="shared" si="10"/>
        <v>33214.403</v>
      </c>
      <c r="H46" s="12">
        <f t="shared" si="11"/>
        <v>-1587</v>
      </c>
      <c r="I46" s="64" t="s">
        <v>105</v>
      </c>
      <c r="J46" s="65" t="s">
        <v>106</v>
      </c>
      <c r="K46" s="64">
        <v>-1587</v>
      </c>
      <c r="L46" s="64" t="s">
        <v>107</v>
      </c>
      <c r="M46" s="65" t="s">
        <v>75</v>
      </c>
      <c r="N46" s="65"/>
      <c r="O46" s="66" t="s">
        <v>91</v>
      </c>
      <c r="P46" s="66" t="s">
        <v>92</v>
      </c>
    </row>
    <row r="47" spans="1:16" ht="12.75" customHeight="1" thickBot="1">
      <c r="A47" s="12" t="str">
        <f t="shared" si="6"/>
        <v> VSS 2.352 </v>
      </c>
      <c r="B47" s="18" t="str">
        <f t="shared" si="7"/>
        <v>I</v>
      </c>
      <c r="C47" s="12">
        <f t="shared" si="8"/>
        <v>34599.406999999999</v>
      </c>
      <c r="D47" s="16" t="str">
        <f t="shared" si="9"/>
        <v>vis</v>
      </c>
      <c r="E47" s="63">
        <f>VLOOKUP(C47,Active!C$21:E$973,3,FALSE)</f>
        <v>-405.983851612678</v>
      </c>
      <c r="F47" s="18" t="s">
        <v>69</v>
      </c>
      <c r="G47" s="16" t="str">
        <f t="shared" si="10"/>
        <v>34599.407</v>
      </c>
      <c r="H47" s="12">
        <f t="shared" si="11"/>
        <v>-406</v>
      </c>
      <c r="I47" s="64" t="s">
        <v>108</v>
      </c>
      <c r="J47" s="65" t="s">
        <v>109</v>
      </c>
      <c r="K47" s="64">
        <v>-406</v>
      </c>
      <c r="L47" s="64" t="s">
        <v>110</v>
      </c>
      <c r="M47" s="65" t="s">
        <v>75</v>
      </c>
      <c r="N47" s="65"/>
      <c r="O47" s="66" t="s">
        <v>81</v>
      </c>
      <c r="P47" s="66" t="s">
        <v>82</v>
      </c>
    </row>
    <row r="48" spans="1:16" ht="12.75" customHeight="1" thickBot="1">
      <c r="A48" s="12" t="str">
        <f t="shared" si="6"/>
        <v> VSS 2.352 </v>
      </c>
      <c r="B48" s="18" t="str">
        <f t="shared" si="7"/>
        <v>I</v>
      </c>
      <c r="C48" s="12">
        <f t="shared" si="8"/>
        <v>34627.536999999997</v>
      </c>
      <c r="D48" s="16" t="str">
        <f t="shared" si="9"/>
        <v>vis</v>
      </c>
      <c r="E48" s="63">
        <f>VLOOKUP(C48,Active!C$21:E$973,3,FALSE)</f>
        <v>-381.99721454857638</v>
      </c>
      <c r="F48" s="18" t="s">
        <v>69</v>
      </c>
      <c r="G48" s="16" t="str">
        <f t="shared" si="10"/>
        <v>34627.537</v>
      </c>
      <c r="H48" s="12">
        <f t="shared" si="11"/>
        <v>-382</v>
      </c>
      <c r="I48" s="64" t="s">
        <v>111</v>
      </c>
      <c r="J48" s="65" t="s">
        <v>112</v>
      </c>
      <c r="K48" s="64">
        <v>-382</v>
      </c>
      <c r="L48" s="64" t="s">
        <v>113</v>
      </c>
      <c r="M48" s="65" t="s">
        <v>75</v>
      </c>
      <c r="N48" s="65"/>
      <c r="O48" s="66" t="s">
        <v>81</v>
      </c>
      <c r="P48" s="66" t="s">
        <v>82</v>
      </c>
    </row>
    <row r="49" spans="1:16" ht="12.75" customHeight="1" thickBot="1">
      <c r="A49" s="12" t="str">
        <f t="shared" si="6"/>
        <v> PZ 12.71 </v>
      </c>
      <c r="B49" s="18" t="str">
        <f t="shared" si="7"/>
        <v>I</v>
      </c>
      <c r="C49" s="12">
        <f t="shared" si="8"/>
        <v>35075.550000000003</v>
      </c>
      <c r="D49" s="16" t="str">
        <f t="shared" si="9"/>
        <v>vis</v>
      </c>
      <c r="E49" s="63">
        <f>VLOOKUP(C49,Active!C$21:E$973,3,FALSE)</f>
        <v>2.6433905049820284E-2</v>
      </c>
      <c r="F49" s="18" t="s">
        <v>69</v>
      </c>
      <c r="G49" s="16" t="str">
        <f t="shared" si="10"/>
        <v>35075.550</v>
      </c>
      <c r="H49" s="12">
        <f t="shared" si="11"/>
        <v>0</v>
      </c>
      <c r="I49" s="64" t="s">
        <v>114</v>
      </c>
      <c r="J49" s="65" t="s">
        <v>115</v>
      </c>
      <c r="K49" s="64">
        <v>0</v>
      </c>
      <c r="L49" s="64" t="s">
        <v>116</v>
      </c>
      <c r="M49" s="65" t="s">
        <v>71</v>
      </c>
      <c r="N49" s="65"/>
      <c r="O49" s="66" t="s">
        <v>117</v>
      </c>
      <c r="P49" s="66" t="s">
        <v>92</v>
      </c>
    </row>
    <row r="50" spans="1:16" ht="12.75" customHeight="1" thickBot="1">
      <c r="A50" s="12" t="str">
        <f t="shared" si="6"/>
        <v> PZ 12.71 </v>
      </c>
      <c r="B50" s="18" t="str">
        <f t="shared" si="7"/>
        <v>I</v>
      </c>
      <c r="C50" s="12">
        <f t="shared" si="8"/>
        <v>35394.487999999998</v>
      </c>
      <c r="D50" s="16" t="str">
        <f t="shared" si="9"/>
        <v>vis</v>
      </c>
      <c r="E50" s="63">
        <f>VLOOKUP(C50,Active!C$21:E$973,3,FALSE)</f>
        <v>271.98697610025147</v>
      </c>
      <c r="F50" s="18" t="s">
        <v>69</v>
      </c>
      <c r="G50" s="16" t="str">
        <f t="shared" si="10"/>
        <v>35394.488</v>
      </c>
      <c r="H50" s="12">
        <f t="shared" si="11"/>
        <v>272</v>
      </c>
      <c r="I50" s="64" t="s">
        <v>118</v>
      </c>
      <c r="J50" s="65" t="s">
        <v>119</v>
      </c>
      <c r="K50" s="64">
        <v>272</v>
      </c>
      <c r="L50" s="64" t="s">
        <v>120</v>
      </c>
      <c r="M50" s="65" t="s">
        <v>75</v>
      </c>
      <c r="N50" s="65"/>
      <c r="O50" s="66" t="s">
        <v>91</v>
      </c>
      <c r="P50" s="66" t="s">
        <v>92</v>
      </c>
    </row>
    <row r="51" spans="1:16" ht="12.75" customHeight="1" thickBot="1">
      <c r="A51" s="12" t="str">
        <f t="shared" si="6"/>
        <v> BRNO 30 </v>
      </c>
      <c r="B51" s="18" t="str">
        <f t="shared" si="7"/>
        <v>II</v>
      </c>
      <c r="C51" s="12">
        <f t="shared" si="8"/>
        <v>47777.459000000003</v>
      </c>
      <c r="D51" s="16" t="str">
        <f t="shared" si="9"/>
        <v>vis</v>
      </c>
      <c r="E51" s="63">
        <f>VLOOKUP(C51,Active!C$21:E$973,3,FALSE)</f>
        <v>10831.02825417786</v>
      </c>
      <c r="F51" s="18" t="s">
        <v>69</v>
      </c>
      <c r="G51" s="16" t="str">
        <f t="shared" si="10"/>
        <v>47777.459</v>
      </c>
      <c r="H51" s="12">
        <f t="shared" si="11"/>
        <v>10832.5</v>
      </c>
      <c r="I51" s="64" t="s">
        <v>121</v>
      </c>
      <c r="J51" s="65" t="s">
        <v>122</v>
      </c>
      <c r="K51" s="64">
        <v>10832.5</v>
      </c>
      <c r="L51" s="64" t="s">
        <v>123</v>
      </c>
      <c r="M51" s="65" t="s">
        <v>124</v>
      </c>
      <c r="N51" s="65"/>
      <c r="O51" s="66" t="s">
        <v>125</v>
      </c>
      <c r="P51" s="66" t="s">
        <v>126</v>
      </c>
    </row>
    <row r="52" spans="1:16" ht="12.75" customHeight="1" thickBot="1">
      <c r="A52" s="12" t="str">
        <f t="shared" si="6"/>
        <v> BRNO 30 </v>
      </c>
      <c r="B52" s="18" t="str">
        <f t="shared" si="7"/>
        <v>II</v>
      </c>
      <c r="C52" s="12">
        <f t="shared" si="8"/>
        <v>47777.472000000002</v>
      </c>
      <c r="D52" s="16" t="str">
        <f t="shared" si="9"/>
        <v>vis</v>
      </c>
      <c r="E52" s="63">
        <f>VLOOKUP(C52,Active!C$21:E$973,3,FALSE)</f>
        <v>10831.039339363846</v>
      </c>
      <c r="F52" s="18" t="s">
        <v>69</v>
      </c>
      <c r="G52" s="16" t="str">
        <f t="shared" si="10"/>
        <v>47777.472</v>
      </c>
      <c r="H52" s="12">
        <f t="shared" si="11"/>
        <v>10832.5</v>
      </c>
      <c r="I52" s="64" t="s">
        <v>127</v>
      </c>
      <c r="J52" s="65" t="s">
        <v>128</v>
      </c>
      <c r="K52" s="64">
        <v>10832.5</v>
      </c>
      <c r="L52" s="64" t="s">
        <v>129</v>
      </c>
      <c r="M52" s="65" t="s">
        <v>124</v>
      </c>
      <c r="N52" s="65"/>
      <c r="O52" s="66" t="s">
        <v>130</v>
      </c>
      <c r="P52" s="66" t="s">
        <v>126</v>
      </c>
    </row>
    <row r="53" spans="1:16" ht="12.75" customHeight="1" thickBot="1">
      <c r="A53" s="12" t="str">
        <f t="shared" si="6"/>
        <v> BRNO 30 </v>
      </c>
      <c r="B53" s="18" t="str">
        <f t="shared" si="7"/>
        <v>II</v>
      </c>
      <c r="C53" s="12">
        <f t="shared" si="8"/>
        <v>47777.472999999998</v>
      </c>
      <c r="D53" s="16" t="str">
        <f t="shared" si="9"/>
        <v>vis</v>
      </c>
      <c r="E53" s="63">
        <f>VLOOKUP(C53,Active!C$21:E$973,3,FALSE)</f>
        <v>10831.040192070459</v>
      </c>
      <c r="F53" s="18" t="s">
        <v>69</v>
      </c>
      <c r="G53" s="16" t="str">
        <f t="shared" si="10"/>
        <v>47777.473</v>
      </c>
      <c r="H53" s="12">
        <f t="shared" si="11"/>
        <v>10832.5</v>
      </c>
      <c r="I53" s="64" t="s">
        <v>131</v>
      </c>
      <c r="J53" s="65" t="s">
        <v>132</v>
      </c>
      <c r="K53" s="64">
        <v>10832.5</v>
      </c>
      <c r="L53" s="64" t="s">
        <v>133</v>
      </c>
      <c r="M53" s="65" t="s">
        <v>124</v>
      </c>
      <c r="N53" s="65"/>
      <c r="O53" s="66" t="s">
        <v>134</v>
      </c>
      <c r="P53" s="66" t="s">
        <v>126</v>
      </c>
    </row>
    <row r="54" spans="1:16" ht="12.75" customHeight="1" thickBot="1">
      <c r="A54" s="12" t="str">
        <f t="shared" si="6"/>
        <v> BRNO 30 </v>
      </c>
      <c r="B54" s="18" t="str">
        <f t="shared" si="7"/>
        <v>II</v>
      </c>
      <c r="C54" s="12">
        <f t="shared" si="8"/>
        <v>47859.540999999997</v>
      </c>
      <c r="D54" s="16" t="str">
        <f t="shared" si="9"/>
        <v>vis</v>
      </c>
      <c r="E54" s="63">
        <f>VLOOKUP(C54,Active!C$21:E$973,3,FALSE)</f>
        <v>10901.020118504048</v>
      </c>
      <c r="F54" s="18" t="s">
        <v>69</v>
      </c>
      <c r="G54" s="16" t="str">
        <f t="shared" si="10"/>
        <v>47859.541</v>
      </c>
      <c r="H54" s="12">
        <f t="shared" si="11"/>
        <v>10902.5</v>
      </c>
      <c r="I54" s="64" t="s">
        <v>135</v>
      </c>
      <c r="J54" s="65" t="s">
        <v>136</v>
      </c>
      <c r="K54" s="64">
        <v>10902.5</v>
      </c>
      <c r="L54" s="64" t="s">
        <v>137</v>
      </c>
      <c r="M54" s="65" t="s">
        <v>124</v>
      </c>
      <c r="N54" s="65"/>
      <c r="O54" s="66" t="s">
        <v>138</v>
      </c>
      <c r="P54" s="66" t="s">
        <v>126</v>
      </c>
    </row>
    <row r="55" spans="1:16" ht="12.75" customHeight="1" thickBot="1">
      <c r="A55" s="12" t="str">
        <f t="shared" si="6"/>
        <v> BRNO 31 </v>
      </c>
      <c r="B55" s="18" t="str">
        <f t="shared" si="7"/>
        <v>II</v>
      </c>
      <c r="C55" s="12">
        <f t="shared" si="8"/>
        <v>48605.406999999999</v>
      </c>
      <c r="D55" s="16" t="str">
        <f t="shared" si="9"/>
        <v>vis</v>
      </c>
      <c r="E55" s="63">
        <f>VLOOKUP(C55,Active!C$21:E$973,3,FALSE)</f>
        <v>11537.024990187478</v>
      </c>
      <c r="F55" s="18" t="s">
        <v>69</v>
      </c>
      <c r="G55" s="16" t="str">
        <f t="shared" si="10"/>
        <v>48605.407</v>
      </c>
      <c r="H55" s="12">
        <f t="shared" si="11"/>
        <v>11538.5</v>
      </c>
      <c r="I55" s="64" t="s">
        <v>139</v>
      </c>
      <c r="J55" s="65" t="s">
        <v>140</v>
      </c>
      <c r="K55" s="64">
        <v>11538.5</v>
      </c>
      <c r="L55" s="64" t="s">
        <v>141</v>
      </c>
      <c r="M55" s="65" t="s">
        <v>124</v>
      </c>
      <c r="N55" s="65"/>
      <c r="O55" s="66" t="s">
        <v>125</v>
      </c>
      <c r="P55" s="66" t="s">
        <v>142</v>
      </c>
    </row>
    <row r="56" spans="1:16" ht="12.75" customHeight="1" thickBot="1">
      <c r="A56" s="12" t="str">
        <f t="shared" si="6"/>
        <v> BBS 116 </v>
      </c>
      <c r="B56" s="18" t="str">
        <f t="shared" si="7"/>
        <v>II</v>
      </c>
      <c r="C56" s="12">
        <f t="shared" si="8"/>
        <v>48726.303399999997</v>
      </c>
      <c r="D56" s="16" t="str">
        <f t="shared" si="9"/>
        <v>vis</v>
      </c>
      <c r="E56" s="63">
        <f>VLOOKUP(C56,Active!C$21:E$973,3,FALSE)</f>
        <v>11640.114150129059</v>
      </c>
      <c r="F56" s="18" t="s">
        <v>69</v>
      </c>
      <c r="G56" s="16" t="str">
        <f t="shared" si="10"/>
        <v>48726.3034</v>
      </c>
      <c r="H56" s="12">
        <f t="shared" si="11"/>
        <v>11641.5</v>
      </c>
      <c r="I56" s="64" t="s">
        <v>143</v>
      </c>
      <c r="J56" s="65" t="s">
        <v>144</v>
      </c>
      <c r="K56" s="64">
        <v>11641.5</v>
      </c>
      <c r="L56" s="64" t="s">
        <v>145</v>
      </c>
      <c r="M56" s="65" t="s">
        <v>146</v>
      </c>
      <c r="N56" s="65" t="s">
        <v>147</v>
      </c>
      <c r="O56" s="66" t="s">
        <v>148</v>
      </c>
      <c r="P56" s="66" t="s">
        <v>149</v>
      </c>
    </row>
    <row r="57" spans="1:16" ht="12.75" customHeight="1" thickBot="1">
      <c r="A57" s="12" t="str">
        <f t="shared" si="6"/>
        <v> BRNO 31 </v>
      </c>
      <c r="B57" s="18" t="str">
        <f t="shared" si="7"/>
        <v>II</v>
      </c>
      <c r="C57" s="12">
        <f t="shared" si="8"/>
        <v>48843.476000000002</v>
      </c>
      <c r="D57" s="16" t="str">
        <f t="shared" si="9"/>
        <v>vis</v>
      </c>
      <c r="E57" s="63">
        <f>VLOOKUP(C57,Active!C$21:E$973,3,FALSE)</f>
        <v>11740.028001179808</v>
      </c>
      <c r="F57" s="18" t="s">
        <v>69</v>
      </c>
      <c r="G57" s="16" t="str">
        <f t="shared" si="10"/>
        <v>48843.476</v>
      </c>
      <c r="H57" s="12">
        <f t="shared" si="11"/>
        <v>11741.5</v>
      </c>
      <c r="I57" s="64" t="s">
        <v>150</v>
      </c>
      <c r="J57" s="65" t="s">
        <v>151</v>
      </c>
      <c r="K57" s="64">
        <v>11741.5</v>
      </c>
      <c r="L57" s="64" t="s">
        <v>123</v>
      </c>
      <c r="M57" s="65" t="s">
        <v>124</v>
      </c>
      <c r="N57" s="65"/>
      <c r="O57" s="66" t="s">
        <v>138</v>
      </c>
      <c r="P57" s="66" t="s">
        <v>142</v>
      </c>
    </row>
    <row r="58" spans="1:16" ht="12.75" customHeight="1" thickBot="1">
      <c r="A58" s="12" t="str">
        <f t="shared" si="6"/>
        <v> BRNO 32 </v>
      </c>
      <c r="B58" s="18" t="str">
        <f t="shared" si="7"/>
        <v>II</v>
      </c>
      <c r="C58" s="12">
        <f t="shared" si="8"/>
        <v>50017.378599999996</v>
      </c>
      <c r="D58" s="16" t="str">
        <f t="shared" si="9"/>
        <v>vis</v>
      </c>
      <c r="E58" s="63">
        <f>VLOOKUP(C58,Active!C$21:E$973,3,FALSE)</f>
        <v>12741.022512904219</v>
      </c>
      <c r="F58" s="18" t="s">
        <v>69</v>
      </c>
      <c r="G58" s="16" t="str">
        <f t="shared" si="10"/>
        <v>50017.3786</v>
      </c>
      <c r="H58" s="12">
        <f t="shared" si="11"/>
        <v>12742.5</v>
      </c>
      <c r="I58" s="64" t="s">
        <v>152</v>
      </c>
      <c r="J58" s="65" t="s">
        <v>153</v>
      </c>
      <c r="K58" s="64">
        <v>12742.5</v>
      </c>
      <c r="L58" s="64" t="s">
        <v>154</v>
      </c>
      <c r="M58" s="65" t="s">
        <v>124</v>
      </c>
      <c r="N58" s="65"/>
      <c r="O58" s="66" t="s">
        <v>138</v>
      </c>
      <c r="P58" s="66" t="s">
        <v>155</v>
      </c>
    </row>
    <row r="59" spans="1:16" ht="12.75" customHeight="1" thickBot="1">
      <c r="A59" s="12" t="str">
        <f t="shared" si="6"/>
        <v> BRNO 32 </v>
      </c>
      <c r="B59" s="18" t="str">
        <f t="shared" si="7"/>
        <v>II</v>
      </c>
      <c r="C59" s="12">
        <f t="shared" si="8"/>
        <v>50845.335200000001</v>
      </c>
      <c r="D59" s="16" t="str">
        <f t="shared" si="9"/>
        <v>vis</v>
      </c>
      <c r="E59" s="63">
        <f>VLOOKUP(C59,Active!C$21:E$973,3,FALSE)</f>
        <v>13447.026582190729</v>
      </c>
      <c r="F59" s="18" t="s">
        <v>69</v>
      </c>
      <c r="G59" s="16" t="str">
        <f t="shared" si="10"/>
        <v>50845.3352</v>
      </c>
      <c r="H59" s="12">
        <f t="shared" si="11"/>
        <v>13448.5</v>
      </c>
      <c r="I59" s="64" t="s">
        <v>164</v>
      </c>
      <c r="J59" s="65" t="s">
        <v>165</v>
      </c>
      <c r="K59" s="64">
        <v>13448.5</v>
      </c>
      <c r="L59" s="64" t="s">
        <v>166</v>
      </c>
      <c r="M59" s="65" t="s">
        <v>124</v>
      </c>
      <c r="N59" s="65"/>
      <c r="O59" s="66" t="s">
        <v>167</v>
      </c>
      <c r="P59" s="66" t="s">
        <v>155</v>
      </c>
    </row>
    <row r="60" spans="1:16" ht="12.75" customHeight="1" thickBot="1">
      <c r="A60" s="12" t="str">
        <f t="shared" si="6"/>
        <v> BRNO 32 </v>
      </c>
      <c r="B60" s="18" t="str">
        <f t="shared" si="7"/>
        <v>II</v>
      </c>
      <c r="C60" s="12">
        <f t="shared" si="8"/>
        <v>51110.376499999998</v>
      </c>
      <c r="D60" s="16" t="str">
        <f t="shared" si="9"/>
        <v>vis</v>
      </c>
      <c r="E60" s="63">
        <f>VLOOKUP(C60,Active!C$21:E$973,3,FALSE)</f>
        <v>13673.029051799624</v>
      </c>
      <c r="F60" s="18" t="s">
        <v>69</v>
      </c>
      <c r="G60" s="16" t="str">
        <f t="shared" si="10"/>
        <v>51110.3765</v>
      </c>
      <c r="H60" s="12">
        <f t="shared" si="11"/>
        <v>13674.5</v>
      </c>
      <c r="I60" s="64" t="s">
        <v>172</v>
      </c>
      <c r="J60" s="65" t="s">
        <v>173</v>
      </c>
      <c r="K60" s="64">
        <v>13674.5</v>
      </c>
      <c r="L60" s="64" t="s">
        <v>174</v>
      </c>
      <c r="M60" s="65" t="s">
        <v>146</v>
      </c>
      <c r="N60" s="65" t="s">
        <v>147</v>
      </c>
      <c r="O60" s="66" t="s">
        <v>175</v>
      </c>
      <c r="P60" s="66" t="s">
        <v>155</v>
      </c>
    </row>
    <row r="61" spans="1:16" ht="12.75" customHeight="1" thickBot="1">
      <c r="A61" s="12" t="str">
        <f t="shared" si="6"/>
        <v> BBS 122 </v>
      </c>
      <c r="B61" s="18" t="str">
        <f t="shared" si="7"/>
        <v>II</v>
      </c>
      <c r="C61" s="12">
        <f t="shared" si="8"/>
        <v>51558.363400000002</v>
      </c>
      <c r="D61" s="16" t="str">
        <f t="shared" si="9"/>
        <v>vis</v>
      </c>
      <c r="E61" s="63">
        <f>VLOOKUP(C61,Active!C$21:E$973,3,FALSE)</f>
        <v>14055.030444610611</v>
      </c>
      <c r="F61" s="18" t="s">
        <v>69</v>
      </c>
      <c r="G61" s="16" t="str">
        <f t="shared" si="10"/>
        <v>51558.3634</v>
      </c>
      <c r="H61" s="12">
        <f t="shared" si="11"/>
        <v>14056.5</v>
      </c>
      <c r="I61" s="64" t="s">
        <v>193</v>
      </c>
      <c r="J61" s="65" t="s">
        <v>194</v>
      </c>
      <c r="K61" s="64">
        <v>14056.5</v>
      </c>
      <c r="L61" s="64" t="s">
        <v>195</v>
      </c>
      <c r="M61" s="65" t="s">
        <v>146</v>
      </c>
      <c r="N61" s="65" t="s">
        <v>147</v>
      </c>
      <c r="O61" s="66" t="s">
        <v>196</v>
      </c>
      <c r="P61" s="66" t="s">
        <v>197</v>
      </c>
    </row>
    <row r="62" spans="1:16" ht="12.75" customHeight="1" thickBot="1">
      <c r="A62" s="12" t="str">
        <f t="shared" si="6"/>
        <v> BBS 126 </v>
      </c>
      <c r="B62" s="18" t="str">
        <f t="shared" si="7"/>
        <v>II</v>
      </c>
      <c r="C62" s="12">
        <f t="shared" si="8"/>
        <v>52136.521500000003</v>
      </c>
      <c r="D62" s="16" t="str">
        <f t="shared" si="9"/>
        <v>vis</v>
      </c>
      <c r="E62" s="63">
        <f>VLOOKUP(C62,Active!C$21:E$973,3,FALSE)</f>
        <v>14548.029680670756</v>
      </c>
      <c r="F62" s="18" t="s">
        <v>69</v>
      </c>
      <c r="G62" s="16" t="str">
        <f t="shared" si="10"/>
        <v>52136.5215</v>
      </c>
      <c r="H62" s="12">
        <f t="shared" si="11"/>
        <v>14549.5</v>
      </c>
      <c r="I62" s="64" t="s">
        <v>198</v>
      </c>
      <c r="J62" s="65" t="s">
        <v>199</v>
      </c>
      <c r="K62" s="64">
        <v>14549.5</v>
      </c>
      <c r="L62" s="64" t="s">
        <v>200</v>
      </c>
      <c r="M62" s="65" t="s">
        <v>146</v>
      </c>
      <c r="N62" s="65" t="s">
        <v>147</v>
      </c>
      <c r="O62" s="66" t="s">
        <v>196</v>
      </c>
      <c r="P62" s="66" t="s">
        <v>201</v>
      </c>
    </row>
    <row r="63" spans="1:16" ht="12.75" customHeight="1" thickBot="1">
      <c r="A63" s="12" t="str">
        <f t="shared" si="6"/>
        <v> BBS 133 (=IBVS 5781) </v>
      </c>
      <c r="B63" s="18" t="str">
        <f t="shared" si="7"/>
        <v>II</v>
      </c>
      <c r="C63" s="12">
        <f t="shared" si="8"/>
        <v>54090.305099999998</v>
      </c>
      <c r="D63" s="16" t="str">
        <f t="shared" si="9"/>
        <v>vis</v>
      </c>
      <c r="E63" s="63">
        <f>VLOOKUP(C63,Active!C$21:E$973,3,FALSE)</f>
        <v>16214.033879568662</v>
      </c>
      <c r="F63" s="18" t="s">
        <v>69</v>
      </c>
      <c r="G63" s="16" t="str">
        <f t="shared" si="10"/>
        <v>54090.3051</v>
      </c>
      <c r="H63" s="12">
        <f t="shared" si="11"/>
        <v>16215.5</v>
      </c>
      <c r="I63" s="64" t="s">
        <v>243</v>
      </c>
      <c r="J63" s="65" t="s">
        <v>244</v>
      </c>
      <c r="K63" s="64" t="s">
        <v>245</v>
      </c>
      <c r="L63" s="64" t="s">
        <v>246</v>
      </c>
      <c r="M63" s="65" t="s">
        <v>205</v>
      </c>
      <c r="N63" s="65" t="s">
        <v>69</v>
      </c>
      <c r="O63" s="66" t="s">
        <v>196</v>
      </c>
      <c r="P63" s="66" t="s">
        <v>247</v>
      </c>
    </row>
    <row r="64" spans="1:16" ht="12.75" customHeight="1" thickBot="1">
      <c r="A64" s="12" t="str">
        <f t="shared" si="6"/>
        <v>BAVM 212 </v>
      </c>
      <c r="B64" s="18" t="str">
        <f t="shared" si="7"/>
        <v>I</v>
      </c>
      <c r="C64" s="12">
        <f t="shared" si="8"/>
        <v>55058.398699999998</v>
      </c>
      <c r="D64" s="16" t="str">
        <f t="shared" si="9"/>
        <v>vis</v>
      </c>
      <c r="E64" s="63">
        <f>VLOOKUP(C64,Active!C$21:E$973,3,FALSE)</f>
        <v>17039.533695682479</v>
      </c>
      <c r="F64" s="18" t="s">
        <v>69</v>
      </c>
      <c r="G64" s="16" t="str">
        <f t="shared" si="10"/>
        <v>55058.3987</v>
      </c>
      <c r="H64" s="12">
        <f t="shared" si="11"/>
        <v>17041</v>
      </c>
      <c r="I64" s="64" t="s">
        <v>266</v>
      </c>
      <c r="J64" s="65" t="s">
        <v>267</v>
      </c>
      <c r="K64" s="64" t="s">
        <v>268</v>
      </c>
      <c r="L64" s="64" t="s">
        <v>226</v>
      </c>
      <c r="M64" s="65" t="s">
        <v>205</v>
      </c>
      <c r="N64" s="65" t="s">
        <v>216</v>
      </c>
      <c r="O64" s="66" t="s">
        <v>217</v>
      </c>
      <c r="P64" s="67" t="s">
        <v>269</v>
      </c>
    </row>
    <row r="65" spans="1:16" ht="12.75" customHeight="1" thickBot="1">
      <c r="A65" s="12" t="str">
        <f t="shared" si="6"/>
        <v>BAVM 212 </v>
      </c>
      <c r="B65" s="18" t="str">
        <f t="shared" si="7"/>
        <v>II</v>
      </c>
      <c r="C65" s="12">
        <f t="shared" si="8"/>
        <v>55096.5121</v>
      </c>
      <c r="D65" s="16" t="str">
        <f t="shared" si="9"/>
        <v>vis</v>
      </c>
      <c r="E65" s="63">
        <f>VLOOKUP(C65,Active!C$21:E$973,3,FALSE)</f>
        <v>17072.033243961152</v>
      </c>
      <c r="F65" s="18" t="s">
        <v>69</v>
      </c>
      <c r="G65" s="16" t="str">
        <f t="shared" si="10"/>
        <v>55096.5121</v>
      </c>
      <c r="H65" s="12">
        <f t="shared" si="11"/>
        <v>17073.5</v>
      </c>
      <c r="I65" s="64" t="s">
        <v>270</v>
      </c>
      <c r="J65" s="65" t="s">
        <v>271</v>
      </c>
      <c r="K65" s="64" t="s">
        <v>272</v>
      </c>
      <c r="L65" s="64" t="s">
        <v>273</v>
      </c>
      <c r="M65" s="65" t="s">
        <v>205</v>
      </c>
      <c r="N65" s="65" t="s">
        <v>216</v>
      </c>
      <c r="O65" s="66" t="s">
        <v>217</v>
      </c>
      <c r="P65" s="67" t="s">
        <v>269</v>
      </c>
    </row>
    <row r="66" spans="1:16" ht="12.75" customHeight="1" thickBot="1">
      <c r="A66" s="12" t="str">
        <f t="shared" si="6"/>
        <v>BAVM 225 </v>
      </c>
      <c r="B66" s="18" t="str">
        <f t="shared" si="7"/>
        <v>II</v>
      </c>
      <c r="C66" s="12">
        <f t="shared" si="8"/>
        <v>55857.621099999997</v>
      </c>
      <c r="D66" s="16" t="str">
        <f t="shared" si="9"/>
        <v>vis</v>
      </c>
      <c r="E66" s="63">
        <f>VLOOKUP(C66,Active!C$21:E$973,3,FALSE)</f>
        <v>17721.035922568437</v>
      </c>
      <c r="F66" s="18" t="s">
        <v>69</v>
      </c>
      <c r="G66" s="16" t="str">
        <f t="shared" si="10"/>
        <v>55857.6211</v>
      </c>
      <c r="H66" s="12">
        <f t="shared" si="11"/>
        <v>17722.5</v>
      </c>
      <c r="I66" s="64" t="s">
        <v>297</v>
      </c>
      <c r="J66" s="65" t="s">
        <v>298</v>
      </c>
      <c r="K66" s="64" t="s">
        <v>299</v>
      </c>
      <c r="L66" s="64" t="s">
        <v>300</v>
      </c>
      <c r="M66" s="65" t="s">
        <v>205</v>
      </c>
      <c r="N66" s="65" t="s">
        <v>216</v>
      </c>
      <c r="O66" s="66" t="s">
        <v>217</v>
      </c>
      <c r="P66" s="67" t="s">
        <v>301</v>
      </c>
    </row>
    <row r="67" spans="1:16">
      <c r="B67" s="18"/>
      <c r="E67" s="63"/>
      <c r="F67" s="18"/>
    </row>
    <row r="68" spans="1:16">
      <c r="B68" s="18"/>
      <c r="E68" s="63"/>
      <c r="F68" s="18"/>
    </row>
    <row r="69" spans="1:16">
      <c r="B69" s="18"/>
      <c r="F69" s="18"/>
    </row>
    <row r="70" spans="1:16">
      <c r="B70" s="18"/>
      <c r="F70" s="18"/>
    </row>
    <row r="71" spans="1:16">
      <c r="B71" s="18"/>
      <c r="F71" s="18"/>
    </row>
    <row r="72" spans="1:16">
      <c r="B72" s="18"/>
      <c r="F72" s="18"/>
    </row>
    <row r="73" spans="1:16">
      <c r="B73" s="18"/>
      <c r="F73" s="18"/>
    </row>
    <row r="74" spans="1:16">
      <c r="B74" s="18"/>
      <c r="F74" s="18"/>
    </row>
    <row r="75" spans="1:16">
      <c r="B75" s="18"/>
      <c r="F75" s="18"/>
    </row>
    <row r="76" spans="1:16">
      <c r="B76" s="18"/>
      <c r="F76" s="18"/>
    </row>
    <row r="77" spans="1:16">
      <c r="B77" s="18"/>
      <c r="F77" s="18"/>
    </row>
    <row r="78" spans="1:16">
      <c r="B78" s="18"/>
      <c r="F78" s="18"/>
    </row>
    <row r="79" spans="1:16">
      <c r="B79" s="18"/>
      <c r="F79" s="18"/>
    </row>
    <row r="80" spans="1:1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  <row r="788" spans="2:6">
      <c r="B788" s="18"/>
      <c r="F788" s="18"/>
    </row>
    <row r="789" spans="2:6">
      <c r="B789" s="18"/>
      <c r="F789" s="18"/>
    </row>
    <row r="790" spans="2:6">
      <c r="B790" s="18"/>
      <c r="F790" s="18"/>
    </row>
    <row r="791" spans="2:6">
      <c r="B791" s="18"/>
      <c r="F791" s="18"/>
    </row>
    <row r="792" spans="2:6">
      <c r="B792" s="18"/>
      <c r="F792" s="18"/>
    </row>
    <row r="793" spans="2:6">
      <c r="B793" s="18"/>
      <c r="F793" s="18"/>
    </row>
    <row r="794" spans="2:6">
      <c r="B794" s="18"/>
      <c r="F794" s="18"/>
    </row>
    <row r="795" spans="2:6">
      <c r="B795" s="18"/>
      <c r="F795" s="18"/>
    </row>
    <row r="796" spans="2:6">
      <c r="B796" s="18"/>
      <c r="F796" s="18"/>
    </row>
    <row r="797" spans="2:6">
      <c r="B797" s="18"/>
      <c r="F797" s="18"/>
    </row>
    <row r="798" spans="2:6">
      <c r="B798" s="18"/>
      <c r="F798" s="18"/>
    </row>
    <row r="799" spans="2:6">
      <c r="B799" s="18"/>
      <c r="F799" s="18"/>
    </row>
    <row r="800" spans="2:6">
      <c r="B800" s="18"/>
      <c r="F800" s="18"/>
    </row>
    <row r="801" spans="2:6">
      <c r="B801" s="18"/>
      <c r="F801" s="18"/>
    </row>
    <row r="802" spans="2:6">
      <c r="B802" s="18"/>
      <c r="F802" s="18"/>
    </row>
    <row r="803" spans="2:6">
      <c r="B803" s="18"/>
      <c r="F803" s="18"/>
    </row>
    <row r="804" spans="2:6">
      <c r="B804" s="18"/>
      <c r="F804" s="18"/>
    </row>
    <row r="805" spans="2:6">
      <c r="B805" s="18"/>
      <c r="F805" s="18"/>
    </row>
    <row r="806" spans="2:6">
      <c r="B806" s="18"/>
      <c r="F806" s="18"/>
    </row>
    <row r="807" spans="2:6">
      <c r="B807" s="18"/>
      <c r="F807" s="18"/>
    </row>
    <row r="808" spans="2:6">
      <c r="B808" s="18"/>
      <c r="F808" s="18"/>
    </row>
    <row r="809" spans="2:6">
      <c r="B809" s="18"/>
      <c r="F809" s="18"/>
    </row>
    <row r="810" spans="2:6">
      <c r="B810" s="18"/>
      <c r="F810" s="18"/>
    </row>
    <row r="811" spans="2:6">
      <c r="B811" s="18"/>
      <c r="F811" s="18"/>
    </row>
    <row r="812" spans="2:6">
      <c r="B812" s="18"/>
      <c r="F812" s="18"/>
    </row>
    <row r="813" spans="2:6">
      <c r="B813" s="18"/>
      <c r="F813" s="18"/>
    </row>
    <row r="814" spans="2:6">
      <c r="B814" s="18"/>
      <c r="F814" s="18"/>
    </row>
    <row r="815" spans="2:6">
      <c r="B815" s="18"/>
      <c r="F815" s="18"/>
    </row>
    <row r="816" spans="2:6">
      <c r="B816" s="18"/>
      <c r="F816" s="18"/>
    </row>
    <row r="817" spans="2:6">
      <c r="B817" s="18"/>
      <c r="F817" s="18"/>
    </row>
    <row r="818" spans="2:6">
      <c r="B818" s="18"/>
      <c r="F818" s="18"/>
    </row>
    <row r="819" spans="2:6">
      <c r="B819" s="18"/>
      <c r="F819" s="18"/>
    </row>
    <row r="820" spans="2:6">
      <c r="B820" s="18"/>
      <c r="F820" s="18"/>
    </row>
    <row r="821" spans="2:6">
      <c r="B821" s="18"/>
      <c r="F821" s="18"/>
    </row>
    <row r="822" spans="2:6">
      <c r="B822" s="18"/>
      <c r="F822" s="18"/>
    </row>
    <row r="823" spans="2:6">
      <c r="B823" s="18"/>
      <c r="F823" s="18"/>
    </row>
    <row r="824" spans="2:6">
      <c r="B824" s="18"/>
      <c r="F824" s="18"/>
    </row>
    <row r="825" spans="2:6">
      <c r="B825" s="18"/>
      <c r="F825" s="18"/>
    </row>
    <row r="826" spans="2:6">
      <c r="B826" s="18"/>
      <c r="F826" s="18"/>
    </row>
    <row r="827" spans="2:6">
      <c r="B827" s="18"/>
      <c r="F827" s="18"/>
    </row>
    <row r="828" spans="2:6">
      <c r="B828" s="18"/>
      <c r="F828" s="18"/>
    </row>
    <row r="829" spans="2:6">
      <c r="B829" s="18"/>
      <c r="F829" s="18"/>
    </row>
    <row r="830" spans="2:6">
      <c r="B830" s="18"/>
      <c r="F830" s="18"/>
    </row>
    <row r="831" spans="2:6">
      <c r="B831" s="18"/>
      <c r="F831" s="18"/>
    </row>
    <row r="832" spans="2:6">
      <c r="B832" s="18"/>
      <c r="F832" s="18"/>
    </row>
    <row r="833" spans="2:6">
      <c r="B833" s="18"/>
      <c r="F833" s="18"/>
    </row>
    <row r="834" spans="2:6">
      <c r="B834" s="18"/>
      <c r="F834" s="18"/>
    </row>
    <row r="835" spans="2:6">
      <c r="B835" s="18"/>
      <c r="F835" s="18"/>
    </row>
    <row r="836" spans="2:6">
      <c r="B836" s="18"/>
      <c r="F836" s="18"/>
    </row>
    <row r="837" spans="2:6">
      <c r="B837" s="18"/>
      <c r="F837" s="18"/>
    </row>
    <row r="838" spans="2:6">
      <c r="B838" s="18"/>
      <c r="F838" s="18"/>
    </row>
    <row r="839" spans="2:6">
      <c r="B839" s="18"/>
      <c r="F839" s="18"/>
    </row>
    <row r="840" spans="2:6">
      <c r="B840" s="18"/>
      <c r="F840" s="18"/>
    </row>
    <row r="841" spans="2:6">
      <c r="B841" s="18"/>
      <c r="F841" s="18"/>
    </row>
    <row r="842" spans="2:6">
      <c r="B842" s="18"/>
      <c r="F842" s="18"/>
    </row>
    <row r="843" spans="2:6">
      <c r="B843" s="18"/>
      <c r="F843" s="18"/>
    </row>
    <row r="844" spans="2:6">
      <c r="B844" s="18"/>
      <c r="F844" s="18"/>
    </row>
    <row r="845" spans="2:6">
      <c r="B845" s="18"/>
      <c r="F845" s="18"/>
    </row>
    <row r="846" spans="2:6">
      <c r="B846" s="18"/>
      <c r="F846" s="18"/>
    </row>
    <row r="847" spans="2:6">
      <c r="B847" s="18"/>
      <c r="F847" s="18"/>
    </row>
    <row r="848" spans="2:6">
      <c r="B848" s="18"/>
      <c r="F848" s="18"/>
    </row>
    <row r="849" spans="2:6">
      <c r="B849" s="18"/>
      <c r="F849" s="18"/>
    </row>
    <row r="850" spans="2:6">
      <c r="B850" s="18"/>
      <c r="F850" s="18"/>
    </row>
    <row r="851" spans="2:6">
      <c r="B851" s="18"/>
      <c r="F851" s="18"/>
    </row>
    <row r="852" spans="2:6">
      <c r="B852" s="18"/>
      <c r="F852" s="18"/>
    </row>
    <row r="853" spans="2:6">
      <c r="B853" s="18"/>
      <c r="F853" s="18"/>
    </row>
    <row r="854" spans="2:6">
      <c r="B854" s="18"/>
      <c r="F854" s="18"/>
    </row>
    <row r="855" spans="2:6">
      <c r="B855" s="18"/>
      <c r="F855" s="18"/>
    </row>
    <row r="856" spans="2:6">
      <c r="B856" s="18"/>
      <c r="F856" s="18"/>
    </row>
  </sheetData>
  <phoneticPr fontId="8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4888"/>
    <hyperlink ref="P14" r:id="rId4" display="http://www.bav-astro.de/sfs/BAVM_link.php?BAVMnr=132"/>
    <hyperlink ref="P15" r:id="rId5" display="http://www.bav-astro.de/sfs/BAVM_link.php?BAVMnr=132"/>
    <hyperlink ref="P16" r:id="rId6" display="http://www.konkoly.hu/cgi-bin/IBVS?5263"/>
    <hyperlink ref="P17" r:id="rId7" display="http://www.konkoly.hu/cgi-bin/IBVS?5263"/>
    <hyperlink ref="P18" r:id="rId8" display="http://var.astro.cz/oejv/issues/oejv0074.pdf"/>
    <hyperlink ref="P20" r:id="rId9" display="http://www.bav-astro.de/sfs/BAVM_link.php?BAVMnr=178"/>
    <hyperlink ref="P21" r:id="rId10" display="http://www.bav-astro.de/sfs/BAVM_link.php?BAVMnr=178"/>
    <hyperlink ref="P22" r:id="rId11" display="http://www.bav-astro.de/sfs/BAVM_link.php?BAVMnr=178"/>
    <hyperlink ref="P23" r:id="rId12" display="http://www.bav-astro.de/sfs/BAVM_link.php?BAVMnr=183"/>
    <hyperlink ref="P24" r:id="rId13" display="http://www.bav-astro.de/sfs/BAVM_link.php?BAVMnr=183"/>
    <hyperlink ref="P25" r:id="rId14" display="http://www.bav-astro.de/sfs/BAVM_link.php?BAVMnr=183"/>
    <hyperlink ref="P26" r:id="rId15" display="http://www.bav-astro.de/sfs/BAVM_link.php?BAVMnr=183"/>
    <hyperlink ref="P27" r:id="rId16" display="http://www.bav-astro.de/sfs/BAVM_link.php?BAVMnr=201"/>
    <hyperlink ref="P28" r:id="rId17" display="http://www.bav-astro.de/sfs/BAVM_link.php?BAVMnr=209"/>
    <hyperlink ref="P29" r:id="rId18" display="http://www.bav-astro.de/sfs/BAVM_link.php?BAVMnr=209"/>
    <hyperlink ref="P30" r:id="rId19" display="http://www.bav-astro.de/sfs/BAVM_link.php?BAVMnr=209"/>
    <hyperlink ref="P64" r:id="rId20" display="http://www.bav-astro.de/sfs/BAVM_link.php?BAVMnr=212"/>
    <hyperlink ref="P65" r:id="rId21" display="http://www.bav-astro.de/sfs/BAVM_link.php?BAVMnr=212"/>
    <hyperlink ref="P31" r:id="rId22" display="http://www.konkoly.hu/cgi-bin/IBVS?5920"/>
    <hyperlink ref="P32" r:id="rId23" display="http://www.bav-astro.de/sfs/BAVM_link.php?BAVMnr=215"/>
    <hyperlink ref="P33" r:id="rId24" display="http://www.bav-astro.de/sfs/BAVM_link.php?BAVMnr=215"/>
    <hyperlink ref="P34" r:id="rId25" display="http://www.konkoly.hu/cgi-bin/IBVS?5960"/>
    <hyperlink ref="P35" r:id="rId26" display="http://www.bav-astro.de/sfs/BAVM_link.php?BAVMnr=215"/>
    <hyperlink ref="P66" r:id="rId27" display="http://www.bav-astro.de/sfs/BAVM_link.php?BAVMnr=225"/>
    <hyperlink ref="P36" r:id="rId28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2024-01-19T05:05:17Z</dcterms:modified>
</cp:coreProperties>
</file>