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F0E7071-25B6-467D-AF66-C1573FB87E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  <sheet name="Sheet1" sheetId="3" r:id="rId3"/>
  </sheets>
  <calcPr calcId="181029"/>
</workbook>
</file>

<file path=xl/calcChain.xml><?xml version="1.0" encoding="utf-8"?>
<calcChain xmlns="http://schemas.openxmlformats.org/spreadsheetml/2006/main">
  <c r="Q37" i="1" l="1"/>
  <c r="Q41" i="1"/>
  <c r="C7" i="1"/>
  <c r="E37" i="1"/>
  <c r="F37" i="1"/>
  <c r="C8" i="1"/>
  <c r="D9" i="1"/>
  <c r="C9" i="1"/>
  <c r="E25" i="1"/>
  <c r="F25" i="1"/>
  <c r="E28" i="1"/>
  <c r="F28" i="1"/>
  <c r="E40" i="1"/>
  <c r="F40" i="1"/>
  <c r="Q22" i="1"/>
  <c r="Q23" i="1"/>
  <c r="Q30" i="1"/>
  <c r="Q31" i="1"/>
  <c r="Q33" i="1"/>
  <c r="Q34" i="1"/>
  <c r="Q35" i="1"/>
  <c r="Q36" i="1"/>
  <c r="G19" i="2"/>
  <c r="C19" i="2"/>
  <c r="E19" i="2"/>
  <c r="G18" i="2"/>
  <c r="C18" i="2"/>
  <c r="E18" i="2"/>
  <c r="G17" i="2"/>
  <c r="C17" i="2"/>
  <c r="G28" i="2"/>
  <c r="C28" i="2"/>
  <c r="G27" i="2"/>
  <c r="C27" i="2"/>
  <c r="E27" i="2"/>
  <c r="G26" i="2"/>
  <c r="C26" i="2"/>
  <c r="G25" i="2"/>
  <c r="C25" i="2"/>
  <c r="E25" i="2"/>
  <c r="G16" i="2"/>
  <c r="C16" i="2"/>
  <c r="G24" i="2"/>
  <c r="C24" i="2"/>
  <c r="G23" i="2"/>
  <c r="C23" i="2"/>
  <c r="G15" i="2"/>
  <c r="C15" i="2"/>
  <c r="G22" i="2"/>
  <c r="C22" i="2"/>
  <c r="E22" i="2"/>
  <c r="G14" i="2"/>
  <c r="C14" i="2"/>
  <c r="G13" i="2"/>
  <c r="C13" i="2"/>
  <c r="E13" i="2"/>
  <c r="G12" i="2"/>
  <c r="C12" i="2"/>
  <c r="E12" i="2"/>
  <c r="G11" i="2"/>
  <c r="C11" i="2"/>
  <c r="E11" i="2"/>
  <c r="G21" i="2"/>
  <c r="C21" i="2"/>
  <c r="G20" i="2"/>
  <c r="C20" i="2"/>
  <c r="H19" i="2"/>
  <c r="B19" i="2"/>
  <c r="D19" i="2"/>
  <c r="A19" i="2"/>
  <c r="H18" i="2"/>
  <c r="B18" i="2"/>
  <c r="D18" i="2"/>
  <c r="A18" i="2"/>
  <c r="H17" i="2"/>
  <c r="B17" i="2"/>
  <c r="D17" i="2"/>
  <c r="A17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16" i="2"/>
  <c r="B16" i="2"/>
  <c r="D16" i="2"/>
  <c r="A16" i="2"/>
  <c r="H24" i="2"/>
  <c r="B24" i="2"/>
  <c r="D24" i="2"/>
  <c r="A24" i="2"/>
  <c r="H23" i="2"/>
  <c r="B23" i="2"/>
  <c r="D23" i="2"/>
  <c r="A23" i="2"/>
  <c r="H15" i="2"/>
  <c r="B15" i="2"/>
  <c r="D15" i="2"/>
  <c r="A15" i="2"/>
  <c r="H22" i="2"/>
  <c r="B22" i="2"/>
  <c r="D22" i="2"/>
  <c r="A22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21" i="2"/>
  <c r="B21" i="2"/>
  <c r="D21" i="2"/>
  <c r="A21" i="2"/>
  <c r="H20" i="2"/>
  <c r="B20" i="2"/>
  <c r="D20" i="2"/>
  <c r="A20" i="2"/>
  <c r="Q32" i="1"/>
  <c r="Q40" i="1"/>
  <c r="Q38" i="1"/>
  <c r="Q39" i="1"/>
  <c r="F16" i="1"/>
  <c r="F17" i="1" s="1"/>
  <c r="C17" i="1"/>
  <c r="Q28" i="1"/>
  <c r="Q29" i="1"/>
  <c r="Q27" i="1"/>
  <c r="Q24" i="1"/>
  <c r="Q25" i="1"/>
  <c r="Q26" i="1"/>
  <c r="Q21" i="1"/>
  <c r="E41" i="1"/>
  <c r="F41" i="1"/>
  <c r="G41" i="1"/>
  <c r="K41" i="1"/>
  <c r="E39" i="1"/>
  <c r="F39" i="1"/>
  <c r="G39" i="1"/>
  <c r="J39" i="1"/>
  <c r="E29" i="1"/>
  <c r="F29" i="1"/>
  <c r="G29" i="1"/>
  <c r="K29" i="1"/>
  <c r="E24" i="1"/>
  <c r="F24" i="1"/>
  <c r="G24" i="1"/>
  <c r="K24" i="1"/>
  <c r="E35" i="1"/>
  <c r="F35" i="1"/>
  <c r="G35" i="1"/>
  <c r="K35" i="1"/>
  <c r="E30" i="1"/>
  <c r="F30" i="1"/>
  <c r="G30" i="1"/>
  <c r="K30" i="1"/>
  <c r="E21" i="1"/>
  <c r="F21" i="1"/>
  <c r="E32" i="1"/>
  <c r="F32" i="1"/>
  <c r="G32" i="1"/>
  <c r="J32" i="1"/>
  <c r="E26" i="1"/>
  <c r="F26" i="1"/>
  <c r="G26" i="1"/>
  <c r="J26" i="1"/>
  <c r="E33" i="1"/>
  <c r="F33" i="1"/>
  <c r="G33" i="1"/>
  <c r="K33" i="1"/>
  <c r="E23" i="2"/>
  <c r="E15" i="2"/>
  <c r="E16" i="2"/>
  <c r="E21" i="2"/>
  <c r="E26" i="2"/>
  <c r="E24" i="2"/>
  <c r="E17" i="2"/>
  <c r="E34" i="1"/>
  <c r="F34" i="1"/>
  <c r="G34" i="1"/>
  <c r="K34" i="1"/>
  <c r="E23" i="1"/>
  <c r="F23" i="1"/>
  <c r="G23" i="1"/>
  <c r="K23" i="1"/>
  <c r="E38" i="1"/>
  <c r="F38" i="1"/>
  <c r="G38" i="1"/>
  <c r="K38" i="1"/>
  <c r="E27" i="1"/>
  <c r="G31" i="1"/>
  <c r="K31" i="1"/>
  <c r="G37" i="1"/>
  <c r="K37" i="1"/>
  <c r="G40" i="1"/>
  <c r="J40" i="1"/>
  <c r="G28" i="1"/>
  <c r="K28" i="1"/>
  <c r="G25" i="1"/>
  <c r="K25" i="1"/>
  <c r="E36" i="1"/>
  <c r="F36" i="1"/>
  <c r="G36" i="1"/>
  <c r="K36" i="1"/>
  <c r="E31" i="1"/>
  <c r="F31" i="1"/>
  <c r="E22" i="1"/>
  <c r="F22" i="1"/>
  <c r="G22" i="1"/>
  <c r="K22" i="1"/>
  <c r="F27" i="1"/>
  <c r="G27" i="1"/>
  <c r="E14" i="2"/>
  <c r="E20" i="2"/>
  <c r="E28" i="2"/>
  <c r="J27" i="1"/>
  <c r="C12" i="1"/>
  <c r="C11" i="1"/>
  <c r="O37" i="1" l="1"/>
  <c r="O22" i="1"/>
  <c r="O27" i="1"/>
  <c r="O36" i="1"/>
  <c r="C15" i="1"/>
  <c r="O25" i="1"/>
  <c r="O38" i="1"/>
  <c r="O21" i="1"/>
  <c r="O23" i="1"/>
  <c r="O29" i="1"/>
  <c r="O39" i="1"/>
  <c r="O30" i="1"/>
  <c r="O33" i="1"/>
  <c r="O35" i="1"/>
  <c r="O32" i="1"/>
  <c r="O40" i="1"/>
  <c r="O28" i="1"/>
  <c r="O34" i="1"/>
  <c r="O26" i="1"/>
  <c r="O24" i="1"/>
  <c r="O31" i="1"/>
  <c r="O4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<sst xmlns="http://schemas.openxmlformats.org/spreadsheetml/2006/main" count="268" uniqueCount="170">
  <si>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</si>
  <si>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</si>
  <si>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</si>
  <si>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</si>
  <si>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</si>
  <si>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</si>
  <si>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</si>
  <si>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</si>
  <si>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</si>
  <si>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</si>
  <si>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</si>
  <si>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</si>
  <si>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</si>
  <si>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</si>
  <si>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</si>
  <si>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</si>
  <si>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</si>
  <si>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</si>
  <si>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</si>
  <si>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</si>
  <si>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</si>
  <si>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</si>
  <si>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</si>
  <si>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</si>
  <si>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</si>
  <si>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</si>
  <si>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</si>
  <si>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</si>
  <si>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# of data points:</t>
  </si>
  <si>
    <r>
      <t xml:space="preserve">NU Cas / </t>
    </r>
    <r>
      <rPr>
        <sz val="16"/>
        <color indexed="12"/>
        <rFont val="Arial"/>
        <family val="2"/>
      </rPr>
      <t>GSC 03662-00956</t>
    </r>
  </si>
  <si>
    <t>&lt;&lt; This is far from the GCVS4 position but was in SIMBAD 4 list of IDs</t>
  </si>
  <si>
    <t>IBVS 5653</t>
  </si>
  <si>
    <t>I</t>
  </si>
  <si>
    <t>IBVS 5690</t>
  </si>
  <si>
    <t>IBVS 5731</t>
  </si>
  <si>
    <t>EB/KE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</si>
  <si>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</si>
  <si>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</si>
  <si>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</si>
  <si>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</si>
  <si>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</si>
  <si>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</si>
  <si>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5761</t>
  </si>
  <si>
    <t>IBVS 5806</t>
  </si>
  <si>
    <t>Add cycle</t>
  </si>
  <si>
    <t>Old Cycle</t>
  </si>
  <si>
    <t>Start of linear fit &gt;&gt;&gt;&gt;&gt;&gt;&gt;&gt;&gt;&gt;&gt;&gt;&gt;&gt;&gt;&gt;&gt;&gt;&gt;&gt;&gt;</t>
  </si>
  <si>
    <t>IBVS 6093</t>
  </si>
  <si>
    <t>IBVS 6118</t>
  </si>
  <si>
    <t>IBVS 5984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</si>
  <si>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</si>
  <si>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</si>
  <si>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</si>
  <si>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</si>
  <si>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</si>
  <si>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</si>
  <si>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</si>
  <si>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</si>
  <si>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</si>
  <si>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</si>
  <si>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</si>
  <si>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</si>
  <si>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2451884.3866 </t>
  </si>
  <si>
    <t> 05.12.2000 21:16 </t>
  </si>
  <si>
    <t> 0.2094 </t>
  </si>
  <si>
    <t>E </t>
  </si>
  <si>
    <t>?</t>
  </si>
  <si>
    <t> E.Blättler </t>
  </si>
  <si>
    <t> BBS 124 </t>
  </si>
  <si>
    <t>2452190.2945 </t>
  </si>
  <si>
    <t> 07.10.2001 19:04 </t>
  </si>
  <si>
    <t> 0.2113 </t>
  </si>
  <si>
    <t> BBS 126 </t>
  </si>
  <si>
    <t>2453353.362 </t>
  </si>
  <si>
    <t> 13.12.2004 20:41 </t>
  </si>
  <si>
    <t> 0.222 </t>
  </si>
  <si>
    <t> E. Blättler </t>
  </si>
  <si>
    <t>IBVS 5653 </t>
  </si>
  <si>
    <t>2453362.5623 </t>
  </si>
  <si>
    <t> 23.12.2004 01:29 </t>
  </si>
  <si>
    <t> 0.2226 </t>
  </si>
  <si>
    <t> T. Krajci </t>
  </si>
  <si>
    <t>IBVS 5690 </t>
  </si>
  <si>
    <t>2453671.5382 </t>
  </si>
  <si>
    <t> 28.10.2005 00:55 </t>
  </si>
  <si>
    <t> 0.2257 </t>
  </si>
  <si>
    <t>C </t>
  </si>
  <si>
    <t>-I</t>
  </si>
  <si>
    <t> Agerer </t>
  </si>
  <si>
    <t>BAVM 178 </t>
  </si>
  <si>
    <t>2454019.6148 </t>
  </si>
  <si>
    <t> 11.10.2006 02:45 </t>
  </si>
  <si>
    <t>32445</t>
  </si>
  <si>
    <t> 0.2288 </t>
  </si>
  <si>
    <t> F. Agerer </t>
  </si>
  <si>
    <t>BAVM 183 </t>
  </si>
  <si>
    <t>2454078.6502 </t>
  </si>
  <si>
    <t> 09.12.2006 03:36 </t>
  </si>
  <si>
    <t>32522</t>
  </si>
  <si>
    <t> 0.2297 </t>
  </si>
  <si>
    <t>o</t>
  </si>
  <si>
    <t> T.Krajci </t>
  </si>
  <si>
    <t>IBVS 5806 </t>
  </si>
  <si>
    <t>2454096.2857 </t>
  </si>
  <si>
    <t> 26.12.2006 18:51 </t>
  </si>
  <si>
    <t>32545.5</t>
  </si>
  <si>
    <t> -0.1518 </t>
  </si>
  <si>
    <t> R. Diethelm </t>
  </si>
  <si>
    <t> BBS 133 (=IBVS 5781) </t>
  </si>
  <si>
    <t>2455074.5812 </t>
  </si>
  <si>
    <t> 31.08.2009 01:56 </t>
  </si>
  <si>
    <t>33821.5</t>
  </si>
  <si>
    <t> -0.1423 </t>
  </si>
  <si>
    <t> F.Agerer </t>
  </si>
  <si>
    <t>BAVM 212 </t>
  </si>
  <si>
    <t>2455147.4185 </t>
  </si>
  <si>
    <t> 11.11.2009 22:02 </t>
  </si>
  <si>
    <t>33916.5</t>
  </si>
  <si>
    <t> -0.1398 </t>
  </si>
  <si>
    <t> U.Schmidt </t>
  </si>
  <si>
    <t>2455514.6589 </t>
  </si>
  <si>
    <t> 14.11.2010 03:48 </t>
  </si>
  <si>
    <t>34395.5</t>
  </si>
  <si>
    <t> -0.1400 </t>
  </si>
  <si>
    <t>BAVM 215 </t>
  </si>
  <si>
    <t>2455787.6010 </t>
  </si>
  <si>
    <t> 14.08.2011 02:25 </t>
  </si>
  <si>
    <t>34751.5</t>
  </si>
  <si>
    <t> -0.1366 </t>
  </si>
  <si>
    <t>BAVM 225 </t>
  </si>
  <si>
    <t>2455797.5675 </t>
  </si>
  <si>
    <t> 24.08.2011 01:37 </t>
  </si>
  <si>
    <t>34764.5</t>
  </si>
  <si>
    <t> -0.1369 </t>
  </si>
  <si>
    <t>2455856.6013 </t>
  </si>
  <si>
    <t> 22.10.2011 02:25 </t>
  </si>
  <si>
    <t>34841.5</t>
  </si>
  <si>
    <t> -0.1376 </t>
  </si>
  <si>
    <t>2455874.2355 </t>
  </si>
  <si>
    <t> 08.11.2011 17:39 </t>
  </si>
  <si>
    <t>34864.5</t>
  </si>
  <si>
    <t> -0.1371 </t>
  </si>
  <si>
    <t>2456582.6582 </t>
  </si>
  <si>
    <t> 17.10.2013 03:47 </t>
  </si>
  <si>
    <t>35788.5</t>
  </si>
  <si>
    <t> -0.1284 </t>
  </si>
  <si>
    <t> R.Diethelm </t>
  </si>
  <si>
    <t>IBVS 6093 </t>
  </si>
  <si>
    <t>2456613.3203 </t>
  </si>
  <si>
    <t> 16.11.2013 19:41 </t>
  </si>
  <si>
    <t>35828.5</t>
  </si>
  <si>
    <t> -0.1336 </t>
  </si>
  <si>
    <t> W.Moschner &amp; P.Frank </t>
  </si>
  <si>
    <t>BAVM 234 </t>
  </si>
  <si>
    <t>2456875.5302 </t>
  </si>
  <si>
    <t> 06.08.2014 00:43 </t>
  </si>
  <si>
    <t>36170.5</t>
  </si>
  <si>
    <t> -0.1288 </t>
  </si>
  <si>
    <t>BAVM 238 </t>
  </si>
  <si>
    <t>II</t>
  </si>
  <si>
    <t>s7</t>
  </si>
  <si>
    <t>IBVS 6230</t>
  </si>
  <si>
    <t>Compatibility Report for Cas_NU.xls</t>
  </si>
  <si>
    <t>Run on 10/11/2022 15:39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</si>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</sst>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6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1" fillId="24" borderId="0" xfId="0" applyFont="1" applyFill="1" applyAlignment="1"/>
    <xf numFmtId="0" fontId="0" fillId="0" borderId="0" xfId="0">
      <alignment vertical="top"/>
    </xf>
    <xf numFmtId="0" fontId="15" fillId="0" borderId="0" xfId="0" applyFont="1">
      <alignment vertical="top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8" fillId="25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wrapText="1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0" applyFont="1">
      <alignment vertical="top"/>
    </xf>
    <xf numFmtId="0" fontId="37" fillId="0" borderId="0" xfId="42" applyFont="1" applyAlignment="1">
      <alignment horizontal="left" vertical="center" wrapText="1"/>
    </xf>
    <xf numFmtId="0" fontId="37" fillId="0" borderId="0" xfId="42" applyFont="1" applyAlignment="1">
      <alignment horizontal="center" vertical="center" wrapText="1"/>
    </xf>
    <xf numFmtId="0" fontId="37" fillId="0" borderId="0" xfId="42" applyFont="1" applyAlignment="1">
      <alignment horizontal="left" wrapText="1"/>
    </xf>
    <xf numFmtId="0" fontId="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36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Cas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1-42E5-939E-90882C02B2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1-42E5-939E-90882C02B2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0.22573620000184746</c:v>
                </c:pt>
                <c:pt idx="6">
                  <c:v>0.2287990000040736</c:v>
                </c:pt>
                <c:pt idx="11">
                  <c:v>0.24338900000293506</c:v>
                </c:pt>
                <c:pt idx="18">
                  <c:v>0.24976959999912651</c:v>
                </c:pt>
                <c:pt idx="19">
                  <c:v>0.25449400000070455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1-42E5-939E-90882C02B2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0.20941199999651872</c:v>
                </c:pt>
                <c:pt idx="2">
                  <c:v>0.21127379999961704</c:v>
                </c:pt>
                <c:pt idx="3">
                  <c:v>0.22248319999926025</c:v>
                </c:pt>
                <c:pt idx="4">
                  <c:v>0.22260159999859752</c:v>
                </c:pt>
                <c:pt idx="7">
                  <c:v>0.22970040002837777</c:v>
                </c:pt>
                <c:pt idx="8">
                  <c:v>0.23151900000084424</c:v>
                </c:pt>
                <c:pt idx="9">
                  <c:v>0.24104219999571797</c:v>
                </c:pt>
                <c:pt idx="10">
                  <c:v>0.24357120000058785</c:v>
                </c:pt>
                <c:pt idx="12">
                  <c:v>0.24676820000604494</c:v>
                </c:pt>
                <c:pt idx="13">
                  <c:v>0.24640479999652598</c:v>
                </c:pt>
                <c:pt idx="14">
                  <c:v>0.24570620000304189</c:v>
                </c:pt>
                <c:pt idx="15">
                  <c:v>0.24622480000107316</c:v>
                </c:pt>
                <c:pt idx="16">
                  <c:v>0.24706839999271324</c:v>
                </c:pt>
                <c:pt idx="17">
                  <c:v>0.25494160000380361</c:v>
                </c:pt>
                <c:pt idx="20">
                  <c:v>0.25786840000364464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1-42E5-939E-90882C02B2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C1-42E5-939E-90882C02B2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C1-42E5-939E-90882C02B2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C1-42E5-939E-90882C02B2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2.1847978829327153E-3</c:v>
                </c:pt>
                <c:pt idx="1">
                  <c:v>0.20981543871756378</c:v>
                </c:pt>
                <c:pt idx="2">
                  <c:v>0.21260858186297907</c:v>
                </c:pt>
                <c:pt idx="3">
                  <c:v>0.22322812610256557</c:v>
                </c:pt>
                <c:pt idx="4">
                  <c:v>0.22331213040769082</c:v>
                </c:pt>
                <c:pt idx="5">
                  <c:v>0.22613327498814789</c:v>
                </c:pt>
                <c:pt idx="6">
                  <c:v>0.22931143786538735</c:v>
                </c:pt>
                <c:pt idx="7">
                  <c:v>0.22985046548994117</c:v>
                </c:pt>
                <c:pt idx="8">
                  <c:v>0.2300114737414313</c:v>
                </c:pt>
                <c:pt idx="9">
                  <c:v>0.23894393151975191</c:v>
                </c:pt>
                <c:pt idx="10">
                  <c:v>0.23960896560199363</c:v>
                </c:pt>
                <c:pt idx="11">
                  <c:v>0.24296213744824408</c:v>
                </c:pt>
                <c:pt idx="12">
                  <c:v>0.24545426516696048</c:v>
                </c:pt>
                <c:pt idx="13">
                  <c:v>0.24554526983084621</c:v>
                </c:pt>
                <c:pt idx="14">
                  <c:v>0.24608429745540003</c:v>
                </c:pt>
                <c:pt idx="15">
                  <c:v>0.24624530570689013</c:v>
                </c:pt>
                <c:pt idx="16">
                  <c:v>0.249031448493545</c:v>
                </c:pt>
                <c:pt idx="17">
                  <c:v>0.25271363720153606</c:v>
                </c:pt>
                <c:pt idx="18">
                  <c:v>0.25299365155195364</c:v>
                </c:pt>
                <c:pt idx="19">
                  <c:v>0.25538777424802395</c:v>
                </c:pt>
                <c:pt idx="20">
                  <c:v>0.25953198663420407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C1-42E5-939E-90882C02B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524736"/>
        <c:axId val="1"/>
      </c:scatterChart>
      <c:valAx>
        <c:axId val="69552473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524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01794020497032"/>
          <c:y val="0.92073298764483702"/>
          <c:w val="0.6591281340236347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Cas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58966565349544"/>
          <c:w val="0.8161290322580645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C4-4705-9C3A-14F66E0E7F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C4-4705-9C3A-14F66E0E7F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0.22573620000184746</c:v>
                </c:pt>
                <c:pt idx="6">
                  <c:v>0.2287990000040736</c:v>
                </c:pt>
                <c:pt idx="11">
                  <c:v>0.24338900000293506</c:v>
                </c:pt>
                <c:pt idx="18">
                  <c:v>0.24976959999912651</c:v>
                </c:pt>
                <c:pt idx="19">
                  <c:v>0.25449400000070455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C4-4705-9C3A-14F66E0E7F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0.20941199999651872</c:v>
                </c:pt>
                <c:pt idx="2">
                  <c:v>0.21127379999961704</c:v>
                </c:pt>
                <c:pt idx="3">
                  <c:v>0.22248319999926025</c:v>
                </c:pt>
                <c:pt idx="4">
                  <c:v>0.22260159999859752</c:v>
                </c:pt>
                <c:pt idx="7">
                  <c:v>0.22970040002837777</c:v>
                </c:pt>
                <c:pt idx="8">
                  <c:v>0.23151900000084424</c:v>
                </c:pt>
                <c:pt idx="9">
                  <c:v>0.24104219999571797</c:v>
                </c:pt>
                <c:pt idx="10">
                  <c:v>0.24357120000058785</c:v>
                </c:pt>
                <c:pt idx="12">
                  <c:v>0.24676820000604494</c:v>
                </c:pt>
                <c:pt idx="13">
                  <c:v>0.24640479999652598</c:v>
                </c:pt>
                <c:pt idx="14">
                  <c:v>0.24570620000304189</c:v>
                </c:pt>
                <c:pt idx="15">
                  <c:v>0.24622480000107316</c:v>
                </c:pt>
                <c:pt idx="16">
                  <c:v>0.24706839999271324</c:v>
                </c:pt>
                <c:pt idx="17">
                  <c:v>0.25494160000380361</c:v>
                </c:pt>
                <c:pt idx="20">
                  <c:v>0.25786840000364464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C4-4705-9C3A-14F66E0E7F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C4-4705-9C3A-14F66E0E7F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C4-4705-9C3A-14F66E0E7F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3.0000000000000001E-3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8.9999999999999998E-4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2.0000000000000001E-4</c:v>
                  </c:pt>
                  <c:pt idx="2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C4-4705-9C3A-14F66E0E7F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29660</c:v>
                </c:pt>
                <c:pt idx="2">
                  <c:v>30059</c:v>
                </c:pt>
                <c:pt idx="3">
                  <c:v>31576</c:v>
                </c:pt>
                <c:pt idx="4">
                  <c:v>31588</c:v>
                </c:pt>
                <c:pt idx="5">
                  <c:v>31991</c:v>
                </c:pt>
                <c:pt idx="6">
                  <c:v>32445</c:v>
                </c:pt>
                <c:pt idx="7">
                  <c:v>32522</c:v>
                </c:pt>
                <c:pt idx="8">
                  <c:v>32545</c:v>
                </c:pt>
                <c:pt idx="9">
                  <c:v>33821</c:v>
                </c:pt>
                <c:pt idx="10">
                  <c:v>33916</c:v>
                </c:pt>
                <c:pt idx="11">
                  <c:v>34395</c:v>
                </c:pt>
                <c:pt idx="12">
                  <c:v>34751</c:v>
                </c:pt>
                <c:pt idx="13">
                  <c:v>34764</c:v>
                </c:pt>
                <c:pt idx="14">
                  <c:v>34841</c:v>
                </c:pt>
                <c:pt idx="15">
                  <c:v>34864</c:v>
                </c:pt>
                <c:pt idx="16">
                  <c:v>35262</c:v>
                </c:pt>
                <c:pt idx="17">
                  <c:v>35788</c:v>
                </c:pt>
                <c:pt idx="18">
                  <c:v>35828</c:v>
                </c:pt>
                <c:pt idx="19">
                  <c:v>36170</c:v>
                </c:pt>
                <c:pt idx="20">
                  <c:v>36762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2.1847978829327153E-3</c:v>
                </c:pt>
                <c:pt idx="1">
                  <c:v>0.20981543871756378</c:v>
                </c:pt>
                <c:pt idx="2">
                  <c:v>0.21260858186297907</c:v>
                </c:pt>
                <c:pt idx="3">
                  <c:v>0.22322812610256557</c:v>
                </c:pt>
                <c:pt idx="4">
                  <c:v>0.22331213040769082</c:v>
                </c:pt>
                <c:pt idx="5">
                  <c:v>0.22613327498814789</c:v>
                </c:pt>
                <c:pt idx="6">
                  <c:v>0.22931143786538735</c:v>
                </c:pt>
                <c:pt idx="7">
                  <c:v>0.22985046548994117</c:v>
                </c:pt>
                <c:pt idx="8">
                  <c:v>0.2300114737414313</c:v>
                </c:pt>
                <c:pt idx="9">
                  <c:v>0.23894393151975191</c:v>
                </c:pt>
                <c:pt idx="10">
                  <c:v>0.23960896560199363</c:v>
                </c:pt>
                <c:pt idx="11">
                  <c:v>0.24296213744824408</c:v>
                </c:pt>
                <c:pt idx="12">
                  <c:v>0.24545426516696048</c:v>
                </c:pt>
                <c:pt idx="13">
                  <c:v>0.24554526983084621</c:v>
                </c:pt>
                <c:pt idx="14">
                  <c:v>0.24608429745540003</c:v>
                </c:pt>
                <c:pt idx="15">
                  <c:v>0.24624530570689013</c:v>
                </c:pt>
                <c:pt idx="16">
                  <c:v>0.249031448493545</c:v>
                </c:pt>
                <c:pt idx="17">
                  <c:v>0.25271363720153606</c:v>
                </c:pt>
                <c:pt idx="18">
                  <c:v>0.25299365155195364</c:v>
                </c:pt>
                <c:pt idx="19">
                  <c:v>0.25538777424802395</c:v>
                </c:pt>
                <c:pt idx="20">
                  <c:v>0.25953198663420407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C4-4705-9C3A-14F66E0E7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523296"/>
        <c:axId val="1"/>
      </c:scatterChart>
      <c:valAx>
        <c:axId val="69552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523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25806451612904"/>
          <c:y val="0.92097264437689974"/>
          <c:w val="0.6580645161290322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457200</xdr:colOff>
      <xdr:row>17</xdr:row>
      <xdr:rowOff>133350</xdr:rowOff>
    </xdr:to>
    <xdr:graphicFrame macro="">
      <xdr:nvGraphicFramePr>
        <xdr:cNvPr id="1039" name="Chart 1">
          <a:extLst>
            <a:ext uri="{FF2B5EF4-FFF2-40B4-BE49-F238E27FC236}">
              <a16:creationId xmlns:a16="http://schemas.microsoft.com/office/drawing/2014/main" id="{313E1155-AF1B-6BDE-1CA7-3B0016157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17</xdr:row>
      <xdr:rowOff>171450</xdr:rowOff>
    </xdr:to>
    <xdr:graphicFrame macro="">
      <xdr:nvGraphicFramePr>
        <xdr:cNvPr id="1040" name="Chart 2">
          <a:extLst>
            <a:ext uri="{FF2B5EF4-FFF2-40B4-BE49-F238E27FC236}">
              <a16:creationId xmlns:a16="http://schemas.microsoft.com/office/drawing/2014/main" id="{F3CBBA26-13CD-1E8B-6FC6-BCB74C0C7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13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212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bav-astro.de/sfs/BAVM_link.php?BAVMnr=212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806" TargetMode="External"/><Relationship Id="rId15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83" TargetMode="External"/><Relationship Id="rId9" Type="http://schemas.openxmlformats.org/officeDocument/2006/relationships/hyperlink" Target="http://www.bav-astro.de/sfs/BAVM_link.php?BAVMnr=225" TargetMode="External"/><Relationship Id="rId1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29</v>
      </c>
      <c r="E1" s="11" t="s">
        <v>30</v>
      </c>
    </row>
    <row r="2" spans="1:6" x14ac:dyDescent="0.2">
      <c r="A2" t="s">
        <v>25</v>
      </c>
      <c r="B2" s="19" t="s">
        <v>35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8">
        <v>29144.395</v>
      </c>
      <c r="D4" s="9">
        <v>0.76668179999999997</v>
      </c>
    </row>
    <row r="5" spans="1:6" ht="13.5" thickTop="1" x14ac:dyDescent="0.2">
      <c r="A5" s="23" t="s">
        <v>36</v>
      </c>
      <c r="B5" s="19"/>
      <c r="C5" s="24">
        <v>-9.5</v>
      </c>
      <c r="D5" s="19" t="s">
        <v>37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29144.395</v>
      </c>
    </row>
    <row r="8" spans="1:6" x14ac:dyDescent="0.2">
      <c r="A8" t="s">
        <v>4</v>
      </c>
      <c r="C8">
        <f>+D4</f>
        <v>0.76668179999999997</v>
      </c>
    </row>
    <row r="9" spans="1:6" x14ac:dyDescent="0.2">
      <c r="A9" s="37" t="s">
        <v>46</v>
      </c>
      <c r="B9" s="38">
        <v>21</v>
      </c>
      <c r="C9" s="26" t="str">
        <f>"F"&amp;B9</f>
        <v>F21</v>
      </c>
      <c r="D9" s="27" t="str">
        <f>"G"&amp;B9</f>
        <v>G21</v>
      </c>
    </row>
    <row r="10" spans="1:6" ht="13.5" thickBot="1" x14ac:dyDescent="0.25">
      <c r="A10" s="19"/>
      <c r="B10" s="19"/>
      <c r="C10" s="4" t="s">
        <v>21</v>
      </c>
      <c r="D10" s="4" t="s">
        <v>22</v>
      </c>
      <c r="E10" s="19"/>
    </row>
    <row r="11" spans="1:6" x14ac:dyDescent="0.2">
      <c r="A11" s="19" t="s">
        <v>17</v>
      </c>
      <c r="B11" s="19"/>
      <c r="C11" s="25">
        <f ca="1">INTERCEPT(INDIRECT($D$9):G991,INDIRECT($C$9):F991)</f>
        <v>2.1847978829327153E-3</v>
      </c>
      <c r="D11" s="3"/>
      <c r="E11" s="19"/>
    </row>
    <row r="12" spans="1:6" x14ac:dyDescent="0.2">
      <c r="A12" s="19" t="s">
        <v>18</v>
      </c>
      <c r="B12" s="19"/>
      <c r="C12" s="25">
        <f ca="1">SLOPE(INDIRECT($D$9):G991,INDIRECT($C$9):F991)</f>
        <v>7.0003587604393478E-6</v>
      </c>
      <c r="D12" s="3"/>
      <c r="E12" s="19"/>
    </row>
    <row r="13" spans="1:6" x14ac:dyDescent="0.2">
      <c r="A13" s="19" t="s">
        <v>20</v>
      </c>
      <c r="B13" s="19"/>
      <c r="C13" s="3" t="s">
        <v>15</v>
      </c>
    </row>
    <row r="14" spans="1:6" x14ac:dyDescent="0.2">
      <c r="A14" s="19"/>
      <c r="B14" s="19"/>
      <c r="C14" s="19"/>
    </row>
    <row r="15" spans="1:6" x14ac:dyDescent="0.2">
      <c r="A15" s="30" t="s">
        <v>19</v>
      </c>
      <c r="B15" s="19"/>
      <c r="C15" s="31">
        <f ca="1">(C7+C11)+(C8+C12)*INT(MAX(F21:F3532))</f>
        <v>57329.410863586629</v>
      </c>
      <c r="E15" s="28" t="s">
        <v>44</v>
      </c>
      <c r="F15" s="24">
        <v>1</v>
      </c>
    </row>
    <row r="16" spans="1:6" x14ac:dyDescent="0.2">
      <c r="A16" s="32" t="s">
        <v>5</v>
      </c>
      <c r="B16" s="19"/>
      <c r="C16" s="33">
        <f ca="1">+C8+C12</f>
        <v>0.76668880035876041</v>
      </c>
      <c r="E16" s="28" t="s">
        <v>38</v>
      </c>
      <c r="F16" s="29">
        <f ca="1">NOW()+15018.5+$C$5/24</f>
        <v>60328.761340624995</v>
      </c>
    </row>
    <row r="17" spans="1:17" ht="13.5" thickBot="1" x14ac:dyDescent="0.25">
      <c r="A17" s="28" t="s">
        <v>28</v>
      </c>
      <c r="B17" s="19"/>
      <c r="C17" s="19">
        <f>COUNT(C21:C2190)</f>
        <v>21</v>
      </c>
      <c r="E17" s="28" t="s">
        <v>45</v>
      </c>
      <c r="F17" s="29">
        <f ca="1">ROUND(2*(F16-$C$7)/$C$8,0)/2+F15</f>
        <v>40675.5</v>
      </c>
    </row>
    <row r="18" spans="1:17" ht="14.25" thickTop="1" thickBot="1" x14ac:dyDescent="0.25">
      <c r="A18" s="32" t="s">
        <v>6</v>
      </c>
      <c r="B18" s="19"/>
      <c r="C18" s="35">
        <f ca="1">+C15</f>
        <v>57329.410863586629</v>
      </c>
      <c r="D18" s="36">
        <f ca="1">+C16</f>
        <v>0.76668880035876041</v>
      </c>
      <c r="E18" s="28" t="s">
        <v>39</v>
      </c>
      <c r="F18" s="27">
        <f ca="1">ROUND(2*(F16-$C$15)/$C$16,0)/2+F15</f>
        <v>3913</v>
      </c>
    </row>
    <row r="19" spans="1:17" ht="13.5" thickTop="1" x14ac:dyDescent="0.2">
      <c r="E19" s="28" t="s">
        <v>40</v>
      </c>
      <c r="F19" s="34">
        <f ca="1">+$C$15+$C$16*F18-15018.5-$C$5/24</f>
        <v>45311.359972723796</v>
      </c>
    </row>
    <row r="20" spans="1:17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26</v>
      </c>
      <c r="M20" s="7" t="s">
        <v>27</v>
      </c>
      <c r="N20" s="7" t="s">
        <v>160</v>
      </c>
      <c r="O20" s="7" t="s">
        <v>24</v>
      </c>
      <c r="P20" s="6" t="s">
        <v>23</v>
      </c>
      <c r="Q20" s="4" t="s">
        <v>16</v>
      </c>
    </row>
    <row r="21" spans="1:17" x14ac:dyDescent="0.2">
      <c r="A21" t="s">
        <v>13</v>
      </c>
      <c r="C21" s="10">
        <v>29144.395</v>
      </c>
      <c r="D21" s="10" t="s">
        <v>15</v>
      </c>
      <c r="E21">
        <f t="shared" ref="E21:E41" si="0">+(C21-C$7)/C$8</f>
        <v>0</v>
      </c>
      <c r="F21">
        <f>ROUND(2*E21,0)/2</f>
        <v>0</v>
      </c>
      <c r="H21">
        <v>0</v>
      </c>
      <c r="O21">
        <f t="shared" ref="O21:O41" ca="1" si="1">+C$11+C$12*$F21</f>
        <v>2.1847978829327153E-3</v>
      </c>
      <c r="Q21" s="2">
        <f t="shared" ref="Q21:Q41" si="2">+C21-15018.5</f>
        <v>14125.895</v>
      </c>
    </row>
    <row r="22" spans="1:17" x14ac:dyDescent="0.2">
      <c r="A22" s="53" t="s">
        <v>68</v>
      </c>
      <c r="B22" s="54" t="s">
        <v>32</v>
      </c>
      <c r="C22" s="53">
        <v>51884.386599999998</v>
      </c>
      <c r="D22" s="53" t="s">
        <v>61</v>
      </c>
      <c r="E22">
        <f t="shared" si="0"/>
        <v>29660.273140695394</v>
      </c>
      <c r="F22" s="18">
        <f t="shared" ref="F22:F41" si="3">ROUND(2*E22,0)/2-0.5</f>
        <v>29660</v>
      </c>
      <c r="G22">
        <f t="shared" ref="G22:G41" si="4">+C22-(C$7+F22*C$8)</f>
        <v>0.20941199999651872</v>
      </c>
      <c r="K22">
        <f>+G22</f>
        <v>0.20941199999651872</v>
      </c>
      <c r="O22">
        <f t="shared" ca="1" si="1"/>
        <v>0.20981543871756378</v>
      </c>
      <c r="Q22" s="2">
        <f t="shared" si="2"/>
        <v>36865.886599999998</v>
      </c>
    </row>
    <row r="23" spans="1:17" x14ac:dyDescent="0.2">
      <c r="A23" s="53" t="s">
        <v>72</v>
      </c>
      <c r="B23" s="54" t="s">
        <v>32</v>
      </c>
      <c r="C23" s="53">
        <v>52190.294500000004</v>
      </c>
      <c r="D23" s="53" t="s">
        <v>61</v>
      </c>
      <c r="E23">
        <f t="shared" si="0"/>
        <v>30059.275569082249</v>
      </c>
      <c r="F23" s="18">
        <f t="shared" si="3"/>
        <v>30059</v>
      </c>
      <c r="G23">
        <f t="shared" si="4"/>
        <v>0.21127379999961704</v>
      </c>
      <c r="K23">
        <f>+G23</f>
        <v>0.21127379999961704</v>
      </c>
      <c r="O23">
        <f t="shared" ca="1" si="1"/>
        <v>0.21260858186297907</v>
      </c>
      <c r="Q23" s="2">
        <f t="shared" si="2"/>
        <v>37171.794500000004</v>
      </c>
    </row>
    <row r="24" spans="1:17" x14ac:dyDescent="0.2">
      <c r="A24" s="12" t="s">
        <v>31</v>
      </c>
      <c r="B24" s="13" t="s">
        <v>32</v>
      </c>
      <c r="C24" s="14">
        <v>53353.362000000001</v>
      </c>
      <c r="D24" s="14">
        <v>3.0000000000000001E-3</v>
      </c>
      <c r="E24">
        <f t="shared" si="0"/>
        <v>31576.290189750169</v>
      </c>
      <c r="F24" s="18">
        <f t="shared" si="3"/>
        <v>31576</v>
      </c>
      <c r="G24">
        <f t="shared" si="4"/>
        <v>0.22248319999926025</v>
      </c>
      <c r="K24">
        <f>+G24</f>
        <v>0.22248319999926025</v>
      </c>
      <c r="O24">
        <f t="shared" ca="1" si="1"/>
        <v>0.22322812610256557</v>
      </c>
      <c r="Q24" s="2">
        <f t="shared" si="2"/>
        <v>38334.862000000001</v>
      </c>
    </row>
    <row r="25" spans="1:17" x14ac:dyDescent="0.2">
      <c r="A25" s="15" t="s">
        <v>33</v>
      </c>
      <c r="B25" s="16" t="s">
        <v>32</v>
      </c>
      <c r="C25" s="17">
        <v>53362.562299999998</v>
      </c>
      <c r="D25" s="17">
        <v>4.0000000000000002E-4</v>
      </c>
      <c r="E25">
        <f t="shared" si="0"/>
        <v>31588.2903441819</v>
      </c>
      <c r="F25" s="18">
        <f t="shared" si="3"/>
        <v>31588</v>
      </c>
      <c r="G25">
        <f t="shared" si="4"/>
        <v>0.22260159999859752</v>
      </c>
      <c r="K25">
        <f>+G25</f>
        <v>0.22260159999859752</v>
      </c>
      <c r="O25">
        <f t="shared" ca="1" si="1"/>
        <v>0.22331213040769082</v>
      </c>
      <c r="Q25" s="2">
        <f t="shared" si="2"/>
        <v>38344.062299999998</v>
      </c>
    </row>
    <row r="26" spans="1:17" x14ac:dyDescent="0.2">
      <c r="A26" s="12" t="s">
        <v>34</v>
      </c>
      <c r="B26" s="16"/>
      <c r="C26" s="14">
        <v>53671.538200000003</v>
      </c>
      <c r="D26" s="14">
        <v>2.0000000000000001E-4</v>
      </c>
      <c r="E26">
        <f t="shared" si="0"/>
        <v>31991.294432709899</v>
      </c>
      <c r="F26" s="18">
        <f t="shared" si="3"/>
        <v>31991</v>
      </c>
      <c r="G26">
        <f t="shared" si="4"/>
        <v>0.22573620000184746</v>
      </c>
      <c r="J26">
        <f>+G26</f>
        <v>0.22573620000184746</v>
      </c>
      <c r="O26">
        <f t="shared" ca="1" si="1"/>
        <v>0.22613327498814789</v>
      </c>
      <c r="Q26" s="2">
        <f t="shared" si="2"/>
        <v>38653.038200000003</v>
      </c>
    </row>
    <row r="27" spans="1:17" x14ac:dyDescent="0.2">
      <c r="A27" s="20" t="s">
        <v>42</v>
      </c>
      <c r="B27" s="21" t="s">
        <v>32</v>
      </c>
      <c r="C27" s="10">
        <v>54019.614800000003</v>
      </c>
      <c r="D27" s="10">
        <v>8.9999999999999998E-4</v>
      </c>
      <c r="E27">
        <f t="shared" si="0"/>
        <v>32445.298427587564</v>
      </c>
      <c r="F27" s="18">
        <f t="shared" si="3"/>
        <v>32445</v>
      </c>
      <c r="G27">
        <f t="shared" si="4"/>
        <v>0.2287990000040736</v>
      </c>
      <c r="J27">
        <f>+G27</f>
        <v>0.2287990000040736</v>
      </c>
      <c r="O27">
        <f t="shared" ca="1" si="1"/>
        <v>0.22931143786538735</v>
      </c>
      <c r="Q27" s="2">
        <f t="shared" si="2"/>
        <v>39001.114800000003</v>
      </c>
    </row>
    <row r="28" spans="1:17" x14ac:dyDescent="0.2">
      <c r="A28" s="22" t="s">
        <v>43</v>
      </c>
      <c r="B28" s="16" t="s">
        <v>32</v>
      </c>
      <c r="C28" s="17">
        <v>54078.650200000033</v>
      </c>
      <c r="D28" s="17">
        <v>2.0000000000000001E-4</v>
      </c>
      <c r="E28">
        <f t="shared" si="0"/>
        <v>32522.299603303527</v>
      </c>
      <c r="F28" s="18">
        <f t="shared" si="3"/>
        <v>32522</v>
      </c>
      <c r="G28">
        <f t="shared" si="4"/>
        <v>0.22970040002837777</v>
      </c>
      <c r="K28">
        <f>+G28</f>
        <v>0.22970040002837777</v>
      </c>
      <c r="O28">
        <f t="shared" ca="1" si="1"/>
        <v>0.22985046548994117</v>
      </c>
      <c r="Q28" s="2">
        <f t="shared" si="2"/>
        <v>39060.150200000033</v>
      </c>
    </row>
    <row r="29" spans="1:17" x14ac:dyDescent="0.2">
      <c r="A29" s="39" t="s">
        <v>41</v>
      </c>
      <c r="B29" s="13" t="s">
        <v>32</v>
      </c>
      <c r="C29" s="14">
        <v>54096.2857</v>
      </c>
      <c r="D29" s="14">
        <v>8.9999999999999998E-4</v>
      </c>
      <c r="E29">
        <f t="shared" si="0"/>
        <v>32545.30197534362</v>
      </c>
      <c r="F29" s="18">
        <f t="shared" si="3"/>
        <v>32545</v>
      </c>
      <c r="G29">
        <f t="shared" si="4"/>
        <v>0.23151900000084424</v>
      </c>
      <c r="K29">
        <f>+G29</f>
        <v>0.23151900000084424</v>
      </c>
      <c r="O29">
        <f t="shared" ca="1" si="1"/>
        <v>0.2300114737414313</v>
      </c>
      <c r="Q29" s="2">
        <f t="shared" si="2"/>
        <v>39077.7857</v>
      </c>
    </row>
    <row r="30" spans="1:17" x14ac:dyDescent="0.2">
      <c r="A30" s="53" t="s">
        <v>114</v>
      </c>
      <c r="B30" s="54" t="s">
        <v>159</v>
      </c>
      <c r="C30" s="53">
        <v>55074.581200000001</v>
      </c>
      <c r="D30" s="53" t="s">
        <v>61</v>
      </c>
      <c r="E30">
        <f t="shared" si="0"/>
        <v>33821.314396663649</v>
      </c>
      <c r="F30" s="18">
        <f t="shared" si="3"/>
        <v>33821</v>
      </c>
      <c r="G30">
        <f t="shared" si="4"/>
        <v>0.24104219999571797</v>
      </c>
      <c r="K30">
        <f>+G30</f>
        <v>0.24104219999571797</v>
      </c>
      <c r="O30">
        <f t="shared" ca="1" si="1"/>
        <v>0.23894393151975191</v>
      </c>
      <c r="Q30" s="2">
        <f t="shared" si="2"/>
        <v>40056.081200000001</v>
      </c>
    </row>
    <row r="31" spans="1:17" x14ac:dyDescent="0.2">
      <c r="A31" s="53" t="s">
        <v>114</v>
      </c>
      <c r="B31" s="54" t="s">
        <v>159</v>
      </c>
      <c r="C31" s="53">
        <v>55147.4185</v>
      </c>
      <c r="D31" s="53" t="s">
        <v>61</v>
      </c>
      <c r="E31">
        <f t="shared" si="0"/>
        <v>33916.317695294187</v>
      </c>
      <c r="F31" s="18">
        <f t="shared" si="3"/>
        <v>33916</v>
      </c>
      <c r="G31">
        <f t="shared" si="4"/>
        <v>0.24357120000058785</v>
      </c>
      <c r="K31">
        <f>+G31</f>
        <v>0.24357120000058785</v>
      </c>
      <c r="O31">
        <f t="shared" ca="1" si="1"/>
        <v>0.23960896560199363</v>
      </c>
      <c r="Q31" s="2">
        <f t="shared" si="2"/>
        <v>40128.9185</v>
      </c>
    </row>
    <row r="32" spans="1:17" x14ac:dyDescent="0.2">
      <c r="A32" s="62" t="s">
        <v>49</v>
      </c>
      <c r="B32" s="62"/>
      <c r="C32" s="57">
        <v>55514.658900000002</v>
      </c>
      <c r="D32" s="57">
        <v>1.8E-3</v>
      </c>
      <c r="E32">
        <f t="shared" si="0"/>
        <v>34395.317457646706</v>
      </c>
      <c r="F32" s="18">
        <f t="shared" si="3"/>
        <v>34395</v>
      </c>
      <c r="G32">
        <f t="shared" si="4"/>
        <v>0.24338900000293506</v>
      </c>
      <c r="J32">
        <f>+G32</f>
        <v>0.24338900000293506</v>
      </c>
      <c r="O32">
        <f t="shared" ca="1" si="1"/>
        <v>0.24296213744824408</v>
      </c>
      <c r="Q32" s="2">
        <f t="shared" si="2"/>
        <v>40496.158900000002</v>
      </c>
    </row>
    <row r="33" spans="1:17" x14ac:dyDescent="0.2">
      <c r="A33" s="53" t="s">
        <v>129</v>
      </c>
      <c r="B33" s="54" t="s">
        <v>159</v>
      </c>
      <c r="C33" s="53">
        <v>55787.601000000002</v>
      </c>
      <c r="D33" s="53" t="s">
        <v>61</v>
      </c>
      <c r="E33">
        <f t="shared" si="0"/>
        <v>34751.321865211881</v>
      </c>
      <c r="F33" s="18">
        <f t="shared" si="3"/>
        <v>34751</v>
      </c>
      <c r="G33">
        <f t="shared" si="4"/>
        <v>0.24676820000604494</v>
      </c>
      <c r="K33">
        <f t="shared" ref="K33:K38" si="5">+G33</f>
        <v>0.24676820000604494</v>
      </c>
      <c r="O33">
        <f t="shared" ca="1" si="1"/>
        <v>0.24545426516696048</v>
      </c>
      <c r="Q33" s="2">
        <f t="shared" si="2"/>
        <v>40769.101000000002</v>
      </c>
    </row>
    <row r="34" spans="1:17" x14ac:dyDescent="0.2">
      <c r="A34" s="53" t="s">
        <v>129</v>
      </c>
      <c r="B34" s="54" t="s">
        <v>159</v>
      </c>
      <c r="C34" s="53">
        <v>55797.567499999997</v>
      </c>
      <c r="D34" s="53" t="s">
        <v>61</v>
      </c>
      <c r="E34">
        <f t="shared" si="0"/>
        <v>34764.32139122123</v>
      </c>
      <c r="F34" s="18">
        <f t="shared" si="3"/>
        <v>34764</v>
      </c>
      <c r="G34">
        <f t="shared" si="4"/>
        <v>0.24640479999652598</v>
      </c>
      <c r="K34">
        <f t="shared" si="5"/>
        <v>0.24640479999652598</v>
      </c>
      <c r="O34">
        <f t="shared" ca="1" si="1"/>
        <v>0.24554526983084621</v>
      </c>
      <c r="Q34" s="2">
        <f t="shared" si="2"/>
        <v>40779.067499999997</v>
      </c>
    </row>
    <row r="35" spans="1:17" x14ac:dyDescent="0.2">
      <c r="A35" s="53" t="s">
        <v>129</v>
      </c>
      <c r="B35" s="54" t="s">
        <v>159</v>
      </c>
      <c r="C35" s="53">
        <v>55856.601300000002</v>
      </c>
      <c r="D35" s="53" t="s">
        <v>61</v>
      </c>
      <c r="E35">
        <f t="shared" si="0"/>
        <v>34841.32048002183</v>
      </c>
      <c r="F35" s="18">
        <f t="shared" si="3"/>
        <v>34841</v>
      </c>
      <c r="G35">
        <f t="shared" si="4"/>
        <v>0.24570620000304189</v>
      </c>
      <c r="K35">
        <f t="shared" si="5"/>
        <v>0.24570620000304189</v>
      </c>
      <c r="O35">
        <f t="shared" ca="1" si="1"/>
        <v>0.24608429745540003</v>
      </c>
      <c r="Q35" s="2">
        <f t="shared" si="2"/>
        <v>40838.101300000002</v>
      </c>
    </row>
    <row r="36" spans="1:17" x14ac:dyDescent="0.2">
      <c r="A36" s="53" t="s">
        <v>129</v>
      </c>
      <c r="B36" s="54" t="s">
        <v>159</v>
      </c>
      <c r="C36" s="53">
        <v>55874.235500000003</v>
      </c>
      <c r="D36" s="53" t="s">
        <v>61</v>
      </c>
      <c r="E36">
        <f t="shared" si="0"/>
        <v>34864.321156443264</v>
      </c>
      <c r="F36" s="18">
        <f t="shared" si="3"/>
        <v>34864</v>
      </c>
      <c r="G36">
        <f t="shared" si="4"/>
        <v>0.24622480000107316</v>
      </c>
      <c r="K36">
        <f t="shared" si="5"/>
        <v>0.24622480000107316</v>
      </c>
      <c r="O36">
        <f t="shared" ca="1" si="1"/>
        <v>0.24624530570689013</v>
      </c>
      <c r="Q36" s="2">
        <f t="shared" si="2"/>
        <v>40855.735500000003</v>
      </c>
    </row>
    <row r="37" spans="1:17" x14ac:dyDescent="0.2">
      <c r="A37" s="63" t="s">
        <v>161</v>
      </c>
      <c r="B37" s="64" t="s">
        <v>32</v>
      </c>
      <c r="C37" s="65">
        <v>56179.375699999997</v>
      </c>
      <c r="D37" s="65">
        <v>8.9999999999999998E-4</v>
      </c>
      <c r="E37">
        <f t="shared" si="0"/>
        <v>35262.322256769367</v>
      </c>
      <c r="F37" s="18">
        <f t="shared" si="3"/>
        <v>35262</v>
      </c>
      <c r="G37">
        <f t="shared" si="4"/>
        <v>0.24706839999271324</v>
      </c>
      <c r="K37">
        <f t="shared" si="5"/>
        <v>0.24706839999271324</v>
      </c>
      <c r="O37">
        <f t="shared" ca="1" si="1"/>
        <v>0.249031448493545</v>
      </c>
      <c r="Q37" s="2">
        <f t="shared" si="2"/>
        <v>41160.875699999997</v>
      </c>
    </row>
    <row r="38" spans="1:17" x14ac:dyDescent="0.2">
      <c r="A38" s="14" t="s">
        <v>47</v>
      </c>
      <c r="B38" s="13" t="s">
        <v>32</v>
      </c>
      <c r="C38" s="14">
        <v>56582.658199999998</v>
      </c>
      <c r="D38" s="14">
        <v>2.9999999999999997E-4</v>
      </c>
      <c r="E38">
        <f t="shared" si="0"/>
        <v>35788.332525957965</v>
      </c>
      <c r="F38" s="18">
        <f t="shared" si="3"/>
        <v>35788</v>
      </c>
      <c r="G38">
        <f t="shared" si="4"/>
        <v>0.25494160000380361</v>
      </c>
      <c r="K38">
        <f t="shared" si="5"/>
        <v>0.25494160000380361</v>
      </c>
      <c r="O38">
        <f t="shared" ca="1" si="1"/>
        <v>0.25271363720153606</v>
      </c>
      <c r="Q38" s="2">
        <f t="shared" si="2"/>
        <v>41564.158199999998</v>
      </c>
    </row>
    <row r="39" spans="1:17" x14ac:dyDescent="0.2">
      <c r="A39" s="55" t="s">
        <v>48</v>
      </c>
      <c r="B39" s="56" t="s">
        <v>32</v>
      </c>
      <c r="C39" s="57">
        <v>56613.320299999999</v>
      </c>
      <c r="D39" s="58">
        <v>5.9999999999999995E-4</v>
      </c>
      <c r="E39">
        <f t="shared" si="0"/>
        <v>35828.325780004168</v>
      </c>
      <c r="F39" s="18">
        <f t="shared" si="3"/>
        <v>35828</v>
      </c>
      <c r="G39">
        <f t="shared" si="4"/>
        <v>0.24976959999912651</v>
      </c>
      <c r="J39">
        <f>+G39</f>
        <v>0.24976959999912651</v>
      </c>
      <c r="O39">
        <f t="shared" ca="1" si="1"/>
        <v>0.25299365155195364</v>
      </c>
      <c r="Q39" s="2">
        <f t="shared" si="2"/>
        <v>41594.820299999999</v>
      </c>
    </row>
    <row r="40" spans="1:17" x14ac:dyDescent="0.2">
      <c r="A40" s="58" t="s">
        <v>50</v>
      </c>
      <c r="B40" s="56" t="s">
        <v>32</v>
      </c>
      <c r="C40" s="58">
        <v>56875.530200000001</v>
      </c>
      <c r="D40" s="58">
        <v>2.0000000000000001E-4</v>
      </c>
      <c r="E40">
        <f t="shared" si="0"/>
        <v>36170.331942143406</v>
      </c>
      <c r="F40" s="18">
        <f t="shared" si="3"/>
        <v>36170</v>
      </c>
      <c r="G40">
        <f t="shared" si="4"/>
        <v>0.25449400000070455</v>
      </c>
      <c r="J40">
        <f>+G40</f>
        <v>0.25449400000070455</v>
      </c>
      <c r="O40">
        <f t="shared" ca="1" si="1"/>
        <v>0.25538777424802395</v>
      </c>
      <c r="Q40" s="2">
        <f t="shared" si="2"/>
        <v>41857.030200000001</v>
      </c>
    </row>
    <row r="41" spans="1:17" x14ac:dyDescent="0.2">
      <c r="A41" s="59" t="s">
        <v>0</v>
      </c>
      <c r="B41" s="60" t="s">
        <v>32</v>
      </c>
      <c r="C41" s="61">
        <v>57329.409200000002</v>
      </c>
      <c r="D41" s="74">
        <v>4.0000000000000001E-3</v>
      </c>
      <c r="E41">
        <f t="shared" si="0"/>
        <v>36762.336343447831</v>
      </c>
      <c r="F41" s="18">
        <f t="shared" si="3"/>
        <v>36762</v>
      </c>
      <c r="G41">
        <f t="shared" si="4"/>
        <v>0.25786840000364464</v>
      </c>
      <c r="K41">
        <f>+G41</f>
        <v>0.25786840000364464</v>
      </c>
      <c r="O41">
        <f t="shared" ca="1" si="1"/>
        <v>0.25953198663420407</v>
      </c>
      <c r="Q41" s="2">
        <f t="shared" si="2"/>
        <v>42310.909200000002</v>
      </c>
    </row>
    <row r="42" spans="1:17" x14ac:dyDescent="0.2">
      <c r="B42" s="3"/>
      <c r="C42" s="10"/>
      <c r="D42" s="10"/>
    </row>
    <row r="43" spans="1:17" x14ac:dyDescent="0.2">
      <c r="B43" s="3"/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</sheetData>
  <phoneticPr fontId="8" type="noConversion"/>
  <hyperlinks>
    <hyperlink ref="H238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0"/>
  <sheetViews>
    <sheetView workbookViewId="0">
      <selection activeCell="A20" sqref="A20:D28"/>
    </sheetView>
  </sheetViews>
  <sheetFormatPr defaultRowHeight="12.75" x14ac:dyDescent="0.2"/>
  <cols>
    <col min="1" max="1" width="19.7109375" style="10" customWidth="1"/>
    <col min="2" max="2" width="4.42578125" style="19" customWidth="1"/>
    <col min="3" max="3" width="12.7109375" style="10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0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0" t="s">
        <v>51</v>
      </c>
      <c r="I1" s="41" t="s">
        <v>52</v>
      </c>
      <c r="J1" s="42" t="s">
        <v>53</v>
      </c>
    </row>
    <row r="2" spans="1:16" x14ac:dyDescent="0.2">
      <c r="I2" s="43" t="s">
        <v>54</v>
      </c>
      <c r="J2" s="44" t="s">
        <v>55</v>
      </c>
    </row>
    <row r="3" spans="1:16" x14ac:dyDescent="0.2">
      <c r="A3" s="45" t="s">
        <v>56</v>
      </c>
      <c r="I3" s="43" t="s">
        <v>57</v>
      </c>
      <c r="J3" s="44" t="s">
        <v>58</v>
      </c>
    </row>
    <row r="4" spans="1:16" x14ac:dyDescent="0.2">
      <c r="I4" s="43" t="s">
        <v>59</v>
      </c>
      <c r="J4" s="44" t="s">
        <v>58</v>
      </c>
    </row>
    <row r="5" spans="1:16" ht="13.5" thickBot="1" x14ac:dyDescent="0.25">
      <c r="I5" s="46" t="s">
        <v>60</v>
      </c>
      <c r="J5" s="47" t="s">
        <v>61</v>
      </c>
    </row>
    <row r="10" spans="1:16" ht="13.5" thickBot="1" x14ac:dyDescent="0.25"/>
    <row r="11" spans="1:16" ht="12.75" customHeight="1" thickBot="1" x14ac:dyDescent="0.25">
      <c r="A11" s="10" t="str">
        <f t="shared" ref="A11:A28" si="0">P11</f>
        <v>IBVS 5653 </v>
      </c>
      <c r="B11" s="3" t="str">
        <f t="shared" ref="B11:B28" si="1">IF(H11=INT(H11),"I","II")</f>
        <v>I</v>
      </c>
      <c r="C11" s="10">
        <f t="shared" ref="C11:C28" si="2">1*G11</f>
        <v>53353.362000000001</v>
      </c>
      <c r="D11" s="19" t="str">
        <f t="shared" ref="D11:D28" si="3">VLOOKUP(F11,I$1:J$5,2,FALSE)</f>
        <v>vis</v>
      </c>
      <c r="E11" s="48">
        <f>VLOOKUP(C11,Active!C$21:E$972,3,FALSE)</f>
        <v>31576.290189750169</v>
      </c>
      <c r="F11" s="3" t="s">
        <v>60</v>
      </c>
      <c r="G11" s="19" t="str">
        <f t="shared" ref="G11:G28" si="4">MID(I11,3,LEN(I11)-3)</f>
        <v>53353.362</v>
      </c>
      <c r="H11" s="10">
        <f t="shared" ref="H11:H28" si="5">1*K11</f>
        <v>31576</v>
      </c>
      <c r="I11" s="49" t="s">
        <v>73</v>
      </c>
      <c r="J11" s="50" t="s">
        <v>74</v>
      </c>
      <c r="K11" s="49">
        <v>31576</v>
      </c>
      <c r="L11" s="49" t="s">
        <v>75</v>
      </c>
      <c r="M11" s="50" t="s">
        <v>65</v>
      </c>
      <c r="N11" s="50" t="s">
        <v>66</v>
      </c>
      <c r="O11" s="51" t="s">
        <v>76</v>
      </c>
      <c r="P11" s="52" t="s">
        <v>77</v>
      </c>
    </row>
    <row r="12" spans="1:16" ht="12.75" customHeight="1" thickBot="1" x14ac:dyDescent="0.25">
      <c r="A12" s="10" t="str">
        <f t="shared" si="0"/>
        <v>IBVS 5690 </v>
      </c>
      <c r="B12" s="3" t="str">
        <f t="shared" si="1"/>
        <v>I</v>
      </c>
      <c r="C12" s="10">
        <f t="shared" si="2"/>
        <v>53362.562299999998</v>
      </c>
      <c r="D12" s="19" t="str">
        <f t="shared" si="3"/>
        <v>vis</v>
      </c>
      <c r="E12" s="48">
        <f>VLOOKUP(C12,Active!C$21:E$972,3,FALSE)</f>
        <v>31588.2903441819</v>
      </c>
      <c r="F12" s="3" t="s">
        <v>60</v>
      </c>
      <c r="G12" s="19" t="str">
        <f t="shared" si="4"/>
        <v>53362.5623</v>
      </c>
      <c r="H12" s="10">
        <f t="shared" si="5"/>
        <v>31588</v>
      </c>
      <c r="I12" s="49" t="s">
        <v>78</v>
      </c>
      <c r="J12" s="50" t="s">
        <v>79</v>
      </c>
      <c r="K12" s="49">
        <v>31588</v>
      </c>
      <c r="L12" s="49" t="s">
        <v>80</v>
      </c>
      <c r="M12" s="50" t="s">
        <v>65</v>
      </c>
      <c r="N12" s="50" t="s">
        <v>66</v>
      </c>
      <c r="O12" s="51" t="s">
        <v>81</v>
      </c>
      <c r="P12" s="52" t="s">
        <v>82</v>
      </c>
    </row>
    <row r="13" spans="1:16" ht="12.75" customHeight="1" thickBot="1" x14ac:dyDescent="0.25">
      <c r="A13" s="10" t="str">
        <f t="shared" si="0"/>
        <v>BAVM 178 </v>
      </c>
      <c r="B13" s="3" t="str">
        <f t="shared" si="1"/>
        <v>I</v>
      </c>
      <c r="C13" s="10">
        <f t="shared" si="2"/>
        <v>53671.538200000003</v>
      </c>
      <c r="D13" s="19" t="str">
        <f t="shared" si="3"/>
        <v>vis</v>
      </c>
      <c r="E13" s="48">
        <f>VLOOKUP(C13,Active!C$21:E$972,3,FALSE)</f>
        <v>31991.294432709899</v>
      </c>
      <c r="F13" s="3" t="s">
        <v>60</v>
      </c>
      <c r="G13" s="19" t="str">
        <f t="shared" si="4"/>
        <v>53671.5382</v>
      </c>
      <c r="H13" s="10">
        <f t="shared" si="5"/>
        <v>31991</v>
      </c>
      <c r="I13" s="49" t="s">
        <v>83</v>
      </c>
      <c r="J13" s="50" t="s">
        <v>84</v>
      </c>
      <c r="K13" s="49">
        <v>31991</v>
      </c>
      <c r="L13" s="49" t="s">
        <v>85</v>
      </c>
      <c r="M13" s="50" t="s">
        <v>86</v>
      </c>
      <c r="N13" s="50" t="s">
        <v>87</v>
      </c>
      <c r="O13" s="51" t="s">
        <v>88</v>
      </c>
      <c r="P13" s="52" t="s">
        <v>89</v>
      </c>
    </row>
    <row r="14" spans="1:16" ht="12.75" customHeight="1" thickBot="1" x14ac:dyDescent="0.25">
      <c r="A14" s="10" t="str">
        <f t="shared" si="0"/>
        <v>BAVM 183 </v>
      </c>
      <c r="B14" s="3" t="str">
        <f t="shared" si="1"/>
        <v>I</v>
      </c>
      <c r="C14" s="10">
        <f t="shared" si="2"/>
        <v>54019.614800000003</v>
      </c>
      <c r="D14" s="19" t="str">
        <f t="shared" si="3"/>
        <v>vis</v>
      </c>
      <c r="E14" s="48">
        <f>VLOOKUP(C14,Active!C$21:E$972,3,FALSE)</f>
        <v>32445.298427587564</v>
      </c>
      <c r="F14" s="3" t="s">
        <v>60</v>
      </c>
      <c r="G14" s="19" t="str">
        <f t="shared" si="4"/>
        <v>54019.6148</v>
      </c>
      <c r="H14" s="10">
        <f t="shared" si="5"/>
        <v>32445</v>
      </c>
      <c r="I14" s="49" t="s">
        <v>90</v>
      </c>
      <c r="J14" s="50" t="s">
        <v>91</v>
      </c>
      <c r="K14" s="49" t="s">
        <v>92</v>
      </c>
      <c r="L14" s="49" t="s">
        <v>93</v>
      </c>
      <c r="M14" s="50" t="s">
        <v>86</v>
      </c>
      <c r="N14" s="50" t="s">
        <v>87</v>
      </c>
      <c r="O14" s="51" t="s">
        <v>94</v>
      </c>
      <c r="P14" s="52" t="s">
        <v>95</v>
      </c>
    </row>
    <row r="15" spans="1:16" ht="12.75" customHeight="1" thickBot="1" x14ac:dyDescent="0.25">
      <c r="A15" s="10" t="str">
        <f t="shared" si="0"/>
        <v> BBS 133 (=IBVS 5781) </v>
      </c>
      <c r="B15" s="3" t="str">
        <f t="shared" si="1"/>
        <v>II</v>
      </c>
      <c r="C15" s="10">
        <f t="shared" si="2"/>
        <v>54096.2857</v>
      </c>
      <c r="D15" s="19" t="str">
        <f t="shared" si="3"/>
        <v>vis</v>
      </c>
      <c r="E15" s="48">
        <f>VLOOKUP(C15,Active!C$21:E$972,3,FALSE)</f>
        <v>32545.30197534362</v>
      </c>
      <c r="F15" s="3" t="s">
        <v>60</v>
      </c>
      <c r="G15" s="19" t="str">
        <f t="shared" si="4"/>
        <v>54096.2857</v>
      </c>
      <c r="H15" s="10">
        <f t="shared" si="5"/>
        <v>32545.5</v>
      </c>
      <c r="I15" s="49" t="s">
        <v>103</v>
      </c>
      <c r="J15" s="50" t="s">
        <v>104</v>
      </c>
      <c r="K15" s="49" t="s">
        <v>105</v>
      </c>
      <c r="L15" s="49" t="s">
        <v>106</v>
      </c>
      <c r="M15" s="50" t="s">
        <v>86</v>
      </c>
      <c r="N15" s="50" t="s">
        <v>60</v>
      </c>
      <c r="O15" s="51" t="s">
        <v>107</v>
      </c>
      <c r="P15" s="51" t="s">
        <v>108</v>
      </c>
    </row>
    <row r="16" spans="1:16" ht="12.75" customHeight="1" thickBot="1" x14ac:dyDescent="0.25">
      <c r="A16" s="10" t="str">
        <f t="shared" si="0"/>
        <v>BAVM 215 </v>
      </c>
      <c r="B16" s="3" t="str">
        <f t="shared" si="1"/>
        <v>II</v>
      </c>
      <c r="C16" s="10">
        <f t="shared" si="2"/>
        <v>55514.658900000002</v>
      </c>
      <c r="D16" s="19" t="str">
        <f t="shared" si="3"/>
        <v>vis</v>
      </c>
      <c r="E16" s="48">
        <f>VLOOKUP(C16,Active!C$21:E$972,3,FALSE)</f>
        <v>34395.317457646706</v>
      </c>
      <c r="F16" s="3" t="s">
        <v>60</v>
      </c>
      <c r="G16" s="19" t="str">
        <f t="shared" si="4"/>
        <v>55514.6589</v>
      </c>
      <c r="H16" s="10">
        <f t="shared" si="5"/>
        <v>34395.5</v>
      </c>
      <c r="I16" s="49" t="s">
        <v>120</v>
      </c>
      <c r="J16" s="50" t="s">
        <v>121</v>
      </c>
      <c r="K16" s="49" t="s">
        <v>122</v>
      </c>
      <c r="L16" s="49" t="s">
        <v>123</v>
      </c>
      <c r="M16" s="50" t="s">
        <v>86</v>
      </c>
      <c r="N16" s="50" t="s">
        <v>87</v>
      </c>
      <c r="O16" s="51" t="s">
        <v>113</v>
      </c>
      <c r="P16" s="52" t="s">
        <v>124</v>
      </c>
    </row>
    <row r="17" spans="1:16" ht="12.75" customHeight="1" thickBot="1" x14ac:dyDescent="0.25">
      <c r="A17" s="10" t="str">
        <f t="shared" si="0"/>
        <v>IBVS 6093 </v>
      </c>
      <c r="B17" s="3" t="str">
        <f t="shared" si="1"/>
        <v>II</v>
      </c>
      <c r="C17" s="10">
        <f t="shared" si="2"/>
        <v>56582.658199999998</v>
      </c>
      <c r="D17" s="19" t="str">
        <f t="shared" si="3"/>
        <v>vis</v>
      </c>
      <c r="E17" s="48">
        <f>VLOOKUP(C17,Active!C$21:E$972,3,FALSE)</f>
        <v>35788.332525957965</v>
      </c>
      <c r="F17" s="3" t="s">
        <v>60</v>
      </c>
      <c r="G17" s="19" t="str">
        <f t="shared" si="4"/>
        <v>56582.6582</v>
      </c>
      <c r="H17" s="10">
        <f t="shared" si="5"/>
        <v>35788.5</v>
      </c>
      <c r="I17" s="49" t="s">
        <v>142</v>
      </c>
      <c r="J17" s="50" t="s">
        <v>143</v>
      </c>
      <c r="K17" s="49" t="s">
        <v>144</v>
      </c>
      <c r="L17" s="49" t="s">
        <v>145</v>
      </c>
      <c r="M17" s="50" t="s">
        <v>86</v>
      </c>
      <c r="N17" s="50" t="s">
        <v>60</v>
      </c>
      <c r="O17" s="51" t="s">
        <v>146</v>
      </c>
      <c r="P17" s="52" t="s">
        <v>147</v>
      </c>
    </row>
    <row r="18" spans="1:16" ht="12.75" customHeight="1" thickBot="1" x14ac:dyDescent="0.25">
      <c r="A18" s="10" t="str">
        <f t="shared" si="0"/>
        <v>BAVM 234 </v>
      </c>
      <c r="B18" s="3" t="str">
        <f t="shared" si="1"/>
        <v>II</v>
      </c>
      <c r="C18" s="10">
        <f t="shared" si="2"/>
        <v>56613.320299999999</v>
      </c>
      <c r="D18" s="19" t="str">
        <f t="shared" si="3"/>
        <v>vis</v>
      </c>
      <c r="E18" s="48">
        <f>VLOOKUP(C18,Active!C$21:E$972,3,FALSE)</f>
        <v>35828.325780004168</v>
      </c>
      <c r="F18" s="3" t="s">
        <v>60</v>
      </c>
      <c r="G18" s="19" t="str">
        <f t="shared" si="4"/>
        <v>56613.3203</v>
      </c>
      <c r="H18" s="10">
        <f t="shared" si="5"/>
        <v>35828.5</v>
      </c>
      <c r="I18" s="49" t="s">
        <v>148</v>
      </c>
      <c r="J18" s="50" t="s">
        <v>149</v>
      </c>
      <c r="K18" s="49" t="s">
        <v>150</v>
      </c>
      <c r="L18" s="49" t="s">
        <v>151</v>
      </c>
      <c r="M18" s="50" t="s">
        <v>86</v>
      </c>
      <c r="N18" s="50" t="s">
        <v>100</v>
      </c>
      <c r="O18" s="51" t="s">
        <v>152</v>
      </c>
      <c r="P18" s="52" t="s">
        <v>153</v>
      </c>
    </row>
    <row r="19" spans="1:16" ht="12.75" customHeight="1" thickBot="1" x14ac:dyDescent="0.25">
      <c r="A19" s="10" t="str">
        <f t="shared" si="0"/>
        <v>BAVM 238 </v>
      </c>
      <c r="B19" s="3" t="str">
        <f t="shared" si="1"/>
        <v>II</v>
      </c>
      <c r="C19" s="10">
        <f t="shared" si="2"/>
        <v>56875.530200000001</v>
      </c>
      <c r="D19" s="19" t="str">
        <f t="shared" si="3"/>
        <v>vis</v>
      </c>
      <c r="E19" s="48">
        <f>VLOOKUP(C19,Active!C$21:E$972,3,FALSE)</f>
        <v>36170.331942143406</v>
      </c>
      <c r="F19" s="3" t="s">
        <v>60</v>
      </c>
      <c r="G19" s="19" t="str">
        <f t="shared" si="4"/>
        <v>56875.5302</v>
      </c>
      <c r="H19" s="10">
        <f t="shared" si="5"/>
        <v>36170.5</v>
      </c>
      <c r="I19" s="49" t="s">
        <v>154</v>
      </c>
      <c r="J19" s="50" t="s">
        <v>155</v>
      </c>
      <c r="K19" s="49" t="s">
        <v>156</v>
      </c>
      <c r="L19" s="49" t="s">
        <v>157</v>
      </c>
      <c r="M19" s="50" t="s">
        <v>86</v>
      </c>
      <c r="N19" s="50" t="s">
        <v>100</v>
      </c>
      <c r="O19" s="51" t="s">
        <v>152</v>
      </c>
      <c r="P19" s="52" t="s">
        <v>158</v>
      </c>
    </row>
    <row r="20" spans="1:16" ht="12.75" customHeight="1" thickBot="1" x14ac:dyDescent="0.25">
      <c r="A20" s="10" t="str">
        <f t="shared" si="0"/>
        <v> BBS 124 </v>
      </c>
      <c r="B20" s="3" t="str">
        <f t="shared" si="1"/>
        <v>I</v>
      </c>
      <c r="C20" s="10">
        <f t="shared" si="2"/>
        <v>51884.386599999998</v>
      </c>
      <c r="D20" s="19" t="str">
        <f t="shared" si="3"/>
        <v>vis</v>
      </c>
      <c r="E20" s="48">
        <f>VLOOKUP(C20,Active!C$21:E$972,3,FALSE)</f>
        <v>29660.273140695394</v>
      </c>
      <c r="F20" s="3" t="s">
        <v>60</v>
      </c>
      <c r="G20" s="19" t="str">
        <f t="shared" si="4"/>
        <v>51884.3866</v>
      </c>
      <c r="H20" s="10">
        <f t="shared" si="5"/>
        <v>29660</v>
      </c>
      <c r="I20" s="49" t="s">
        <v>62</v>
      </c>
      <c r="J20" s="50" t="s">
        <v>63</v>
      </c>
      <c r="K20" s="49">
        <v>29660</v>
      </c>
      <c r="L20" s="49" t="s">
        <v>64</v>
      </c>
      <c r="M20" s="50" t="s">
        <v>65</v>
      </c>
      <c r="N20" s="50" t="s">
        <v>66</v>
      </c>
      <c r="O20" s="51" t="s">
        <v>67</v>
      </c>
      <c r="P20" s="51" t="s">
        <v>68</v>
      </c>
    </row>
    <row r="21" spans="1:16" ht="12.75" customHeight="1" thickBot="1" x14ac:dyDescent="0.25">
      <c r="A21" s="10" t="str">
        <f t="shared" si="0"/>
        <v> BBS 126 </v>
      </c>
      <c r="B21" s="3" t="str">
        <f t="shared" si="1"/>
        <v>I</v>
      </c>
      <c r="C21" s="10">
        <f t="shared" si="2"/>
        <v>52190.294500000004</v>
      </c>
      <c r="D21" s="19" t="str">
        <f t="shared" si="3"/>
        <v>vis</v>
      </c>
      <c r="E21" s="48">
        <f>VLOOKUP(C21,Active!C$21:E$972,3,FALSE)</f>
        <v>30059.275569082249</v>
      </c>
      <c r="F21" s="3" t="s">
        <v>60</v>
      </c>
      <c r="G21" s="19" t="str">
        <f t="shared" si="4"/>
        <v>52190.2945</v>
      </c>
      <c r="H21" s="10">
        <f t="shared" si="5"/>
        <v>30059</v>
      </c>
      <c r="I21" s="49" t="s">
        <v>69</v>
      </c>
      <c r="J21" s="50" t="s">
        <v>70</v>
      </c>
      <c r="K21" s="49">
        <v>30059</v>
      </c>
      <c r="L21" s="49" t="s">
        <v>71</v>
      </c>
      <c r="M21" s="50" t="s">
        <v>65</v>
      </c>
      <c r="N21" s="50" t="s">
        <v>66</v>
      </c>
      <c r="O21" s="51" t="s">
        <v>67</v>
      </c>
      <c r="P21" s="51" t="s">
        <v>72</v>
      </c>
    </row>
    <row r="22" spans="1:16" ht="12.75" customHeight="1" thickBot="1" x14ac:dyDescent="0.25">
      <c r="A22" s="10" t="str">
        <f t="shared" si="0"/>
        <v>IBVS 5806 </v>
      </c>
      <c r="B22" s="3" t="str">
        <f t="shared" si="1"/>
        <v>I</v>
      </c>
      <c r="C22" s="10">
        <f t="shared" si="2"/>
        <v>54078.650199999996</v>
      </c>
      <c r="D22" s="19" t="str">
        <f t="shared" si="3"/>
        <v>vis</v>
      </c>
      <c r="E22" s="48" t="e">
        <f>VLOOKUP(C22,Active!C$21:E$972,3,FALSE)</f>
        <v>#N/A</v>
      </c>
      <c r="F22" s="3" t="s">
        <v>60</v>
      </c>
      <c r="G22" s="19" t="str">
        <f t="shared" si="4"/>
        <v>54078.6502</v>
      </c>
      <c r="H22" s="10">
        <f t="shared" si="5"/>
        <v>32522</v>
      </c>
      <c r="I22" s="49" t="s">
        <v>96</v>
      </c>
      <c r="J22" s="50" t="s">
        <v>97</v>
      </c>
      <c r="K22" s="49" t="s">
        <v>98</v>
      </c>
      <c r="L22" s="49" t="s">
        <v>99</v>
      </c>
      <c r="M22" s="50" t="s">
        <v>86</v>
      </c>
      <c r="N22" s="50" t="s">
        <v>100</v>
      </c>
      <c r="O22" s="51" t="s">
        <v>101</v>
      </c>
      <c r="P22" s="52" t="s">
        <v>102</v>
      </c>
    </row>
    <row r="23" spans="1:16" ht="12.75" customHeight="1" thickBot="1" x14ac:dyDescent="0.25">
      <c r="A23" s="10" t="str">
        <f t="shared" si="0"/>
        <v>BAVM 212 </v>
      </c>
      <c r="B23" s="3" t="str">
        <f t="shared" si="1"/>
        <v>II</v>
      </c>
      <c r="C23" s="10">
        <f t="shared" si="2"/>
        <v>55074.581200000001</v>
      </c>
      <c r="D23" s="19" t="str">
        <f t="shared" si="3"/>
        <v>vis</v>
      </c>
      <c r="E23" s="48">
        <f>VLOOKUP(C23,Active!C$21:E$972,3,FALSE)</f>
        <v>33821.314396663649</v>
      </c>
      <c r="F23" s="3" t="s">
        <v>60</v>
      </c>
      <c r="G23" s="19" t="str">
        <f t="shared" si="4"/>
        <v>55074.5812</v>
      </c>
      <c r="H23" s="10">
        <f t="shared" si="5"/>
        <v>33821.5</v>
      </c>
      <c r="I23" s="49" t="s">
        <v>109</v>
      </c>
      <c r="J23" s="50" t="s">
        <v>110</v>
      </c>
      <c r="K23" s="49" t="s">
        <v>111</v>
      </c>
      <c r="L23" s="49" t="s">
        <v>112</v>
      </c>
      <c r="M23" s="50" t="s">
        <v>86</v>
      </c>
      <c r="N23" s="50" t="s">
        <v>87</v>
      </c>
      <c r="O23" s="51" t="s">
        <v>113</v>
      </c>
      <c r="P23" s="52" t="s">
        <v>114</v>
      </c>
    </row>
    <row r="24" spans="1:16" ht="12.75" customHeight="1" thickBot="1" x14ac:dyDescent="0.25">
      <c r="A24" s="10" t="str">
        <f t="shared" si="0"/>
        <v>BAVM 212 </v>
      </c>
      <c r="B24" s="3" t="str">
        <f t="shared" si="1"/>
        <v>II</v>
      </c>
      <c r="C24" s="10">
        <f t="shared" si="2"/>
        <v>55147.4185</v>
      </c>
      <c r="D24" s="19" t="str">
        <f t="shared" si="3"/>
        <v>vis</v>
      </c>
      <c r="E24" s="48">
        <f>VLOOKUP(C24,Active!C$21:E$972,3,FALSE)</f>
        <v>33916.317695294187</v>
      </c>
      <c r="F24" s="3" t="s">
        <v>60</v>
      </c>
      <c r="G24" s="19" t="str">
        <f t="shared" si="4"/>
        <v>55147.4185</v>
      </c>
      <c r="H24" s="10">
        <f t="shared" si="5"/>
        <v>33916.5</v>
      </c>
      <c r="I24" s="49" t="s">
        <v>115</v>
      </c>
      <c r="J24" s="50" t="s">
        <v>116</v>
      </c>
      <c r="K24" s="49" t="s">
        <v>117</v>
      </c>
      <c r="L24" s="49" t="s">
        <v>118</v>
      </c>
      <c r="M24" s="50" t="s">
        <v>86</v>
      </c>
      <c r="N24" s="50" t="s">
        <v>100</v>
      </c>
      <c r="O24" s="51" t="s">
        <v>119</v>
      </c>
      <c r="P24" s="52" t="s">
        <v>114</v>
      </c>
    </row>
    <row r="25" spans="1:16" ht="12.75" customHeight="1" thickBot="1" x14ac:dyDescent="0.25">
      <c r="A25" s="10" t="str">
        <f t="shared" si="0"/>
        <v>BAVM 225 </v>
      </c>
      <c r="B25" s="3" t="str">
        <f t="shared" si="1"/>
        <v>II</v>
      </c>
      <c r="C25" s="10">
        <f t="shared" si="2"/>
        <v>55787.601000000002</v>
      </c>
      <c r="D25" s="19" t="str">
        <f t="shared" si="3"/>
        <v>vis</v>
      </c>
      <c r="E25" s="48">
        <f>VLOOKUP(C25,Active!C$21:E$972,3,FALSE)</f>
        <v>34751.321865211881</v>
      </c>
      <c r="F25" s="3" t="s">
        <v>60</v>
      </c>
      <c r="G25" s="19" t="str">
        <f t="shared" si="4"/>
        <v>55787.6010</v>
      </c>
      <c r="H25" s="10">
        <f t="shared" si="5"/>
        <v>34751.5</v>
      </c>
      <c r="I25" s="49" t="s">
        <v>125</v>
      </c>
      <c r="J25" s="50" t="s">
        <v>126</v>
      </c>
      <c r="K25" s="49" t="s">
        <v>127</v>
      </c>
      <c r="L25" s="49" t="s">
        <v>128</v>
      </c>
      <c r="M25" s="50" t="s">
        <v>86</v>
      </c>
      <c r="N25" s="50" t="s">
        <v>87</v>
      </c>
      <c r="O25" s="51" t="s">
        <v>113</v>
      </c>
      <c r="P25" s="52" t="s">
        <v>129</v>
      </c>
    </row>
    <row r="26" spans="1:16" ht="12.75" customHeight="1" thickBot="1" x14ac:dyDescent="0.25">
      <c r="A26" s="10" t="str">
        <f t="shared" si="0"/>
        <v>BAVM 225 </v>
      </c>
      <c r="B26" s="3" t="str">
        <f t="shared" si="1"/>
        <v>II</v>
      </c>
      <c r="C26" s="10">
        <f t="shared" si="2"/>
        <v>55797.567499999997</v>
      </c>
      <c r="D26" s="19" t="str">
        <f t="shared" si="3"/>
        <v>vis</v>
      </c>
      <c r="E26" s="48">
        <f>VLOOKUP(C26,Active!C$21:E$972,3,FALSE)</f>
        <v>34764.32139122123</v>
      </c>
      <c r="F26" s="3" t="s">
        <v>60</v>
      </c>
      <c r="G26" s="19" t="str">
        <f t="shared" si="4"/>
        <v>55797.5675</v>
      </c>
      <c r="H26" s="10">
        <f t="shared" si="5"/>
        <v>34764.5</v>
      </c>
      <c r="I26" s="49" t="s">
        <v>130</v>
      </c>
      <c r="J26" s="50" t="s">
        <v>131</v>
      </c>
      <c r="K26" s="49" t="s">
        <v>132</v>
      </c>
      <c r="L26" s="49" t="s">
        <v>133</v>
      </c>
      <c r="M26" s="50" t="s">
        <v>86</v>
      </c>
      <c r="N26" s="50" t="s">
        <v>87</v>
      </c>
      <c r="O26" s="51" t="s">
        <v>113</v>
      </c>
      <c r="P26" s="52" t="s">
        <v>129</v>
      </c>
    </row>
    <row r="27" spans="1:16" ht="12.75" customHeight="1" thickBot="1" x14ac:dyDescent="0.25">
      <c r="A27" s="10" t="str">
        <f t="shared" si="0"/>
        <v>BAVM 225 </v>
      </c>
      <c r="B27" s="3" t="str">
        <f t="shared" si="1"/>
        <v>II</v>
      </c>
      <c r="C27" s="10">
        <f t="shared" si="2"/>
        <v>55856.601300000002</v>
      </c>
      <c r="D27" s="19" t="str">
        <f t="shared" si="3"/>
        <v>vis</v>
      </c>
      <c r="E27" s="48">
        <f>VLOOKUP(C27,Active!C$21:E$972,3,FALSE)</f>
        <v>34841.32048002183</v>
      </c>
      <c r="F27" s="3" t="s">
        <v>60</v>
      </c>
      <c r="G27" s="19" t="str">
        <f t="shared" si="4"/>
        <v>55856.6013</v>
      </c>
      <c r="H27" s="10">
        <f t="shared" si="5"/>
        <v>34841.5</v>
      </c>
      <c r="I27" s="49" t="s">
        <v>134</v>
      </c>
      <c r="J27" s="50" t="s">
        <v>135</v>
      </c>
      <c r="K27" s="49" t="s">
        <v>136</v>
      </c>
      <c r="L27" s="49" t="s">
        <v>137</v>
      </c>
      <c r="M27" s="50" t="s">
        <v>86</v>
      </c>
      <c r="N27" s="50" t="s">
        <v>87</v>
      </c>
      <c r="O27" s="51" t="s">
        <v>113</v>
      </c>
      <c r="P27" s="52" t="s">
        <v>129</v>
      </c>
    </row>
    <row r="28" spans="1:16" ht="12.75" customHeight="1" thickBot="1" x14ac:dyDescent="0.25">
      <c r="A28" s="10" t="str">
        <f t="shared" si="0"/>
        <v>BAVM 225 </v>
      </c>
      <c r="B28" s="3" t="str">
        <f t="shared" si="1"/>
        <v>II</v>
      </c>
      <c r="C28" s="10">
        <f t="shared" si="2"/>
        <v>55874.235500000003</v>
      </c>
      <c r="D28" s="19" t="str">
        <f t="shared" si="3"/>
        <v>vis</v>
      </c>
      <c r="E28" s="48">
        <f>VLOOKUP(C28,Active!C$21:E$972,3,FALSE)</f>
        <v>34864.321156443264</v>
      </c>
      <c r="F28" s="3" t="s">
        <v>60</v>
      </c>
      <c r="G28" s="19" t="str">
        <f t="shared" si="4"/>
        <v>55874.2355</v>
      </c>
      <c r="H28" s="10">
        <f t="shared" si="5"/>
        <v>34864.5</v>
      </c>
      <c r="I28" s="49" t="s">
        <v>138</v>
      </c>
      <c r="J28" s="50" t="s">
        <v>139</v>
      </c>
      <c r="K28" s="49" t="s">
        <v>140</v>
      </c>
      <c r="L28" s="49" t="s">
        <v>141</v>
      </c>
      <c r="M28" s="50" t="s">
        <v>86</v>
      </c>
      <c r="N28" s="50" t="s">
        <v>87</v>
      </c>
      <c r="O28" s="51" t="s">
        <v>113</v>
      </c>
      <c r="P28" s="52" t="s">
        <v>129</v>
      </c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</sheetData>
  <phoneticPr fontId="8" type="noConversion"/>
  <hyperlinks>
    <hyperlink ref="P11" r:id="rId1" display="http://www.konkoly.hu/cgi-bin/IBVS?5653"/>
    <hyperlink ref="P12" r:id="rId2" display="http://www.konkoly.hu/cgi-bin/IBVS?5690"/>
    <hyperlink ref="P13" r:id="rId3" display="http://www.bav-astro.de/sfs/BAVM_link.php?BAVMnr=178"/>
    <hyperlink ref="P14" r:id="rId4" display="http://www.bav-astro.de/sfs/BAVM_link.php?BAVMnr=183"/>
    <hyperlink ref="P22" r:id="rId5" display="http://www.konkoly.hu/cgi-bin/IBVS?5806"/>
    <hyperlink ref="P23" r:id="rId6" display="http://www.bav-astro.de/sfs/BAVM_link.php?BAVMnr=212"/>
    <hyperlink ref="P24" r:id="rId7" display="http://www.bav-astro.de/sfs/BAVM_link.php?BAVMnr=212"/>
    <hyperlink ref="P16" r:id="rId8" display="http://www.bav-astro.de/sfs/BAVM_link.php?BAVMnr=215"/>
    <hyperlink ref="P25" r:id="rId9" display="http://www.bav-astro.de/sfs/BAVM_link.php?BAVMnr=225"/>
    <hyperlink ref="P26" r:id="rId10" display="http://www.bav-astro.de/sfs/BAVM_link.php?BAVMnr=225"/>
    <hyperlink ref="P27" r:id="rId11" display="http://www.bav-astro.de/sfs/BAVM_link.php?BAVMnr=225"/>
    <hyperlink ref="P28" r:id="rId12" display="http://www.bav-astro.de/sfs/BAVM_link.php?BAVMnr=225"/>
    <hyperlink ref="P17" r:id="rId13" display="http://www.konkoly.hu/cgi-bin/IBVS?6093"/>
    <hyperlink ref="P18" r:id="rId14" display="http://www.bav-astro.de/sfs/BAVM_link.php?BAVMnr=234"/>
    <hyperlink ref="P19" r:id="rId15" display="http://www.bav-astro.de/sfs/BAVM_link.php?BAVMnr=238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66" t="s">
        <v>162</v>
      </c>
      <c r="C1" s="66"/>
      <c r="D1" s="70"/>
      <c r="E1" s="70"/>
      <c r="F1" s="70"/>
    </row>
    <row r="2" spans="2:6" x14ac:dyDescent="0.2">
      <c r="B2" s="66" t="s">
        <v>163</v>
      </c>
      <c r="C2" s="66"/>
      <c r="D2" s="70"/>
      <c r="E2" s="70"/>
      <c r="F2" s="70"/>
    </row>
    <row r="3" spans="2:6" x14ac:dyDescent="0.2">
      <c r="B3" s="67"/>
      <c r="C3" s="67"/>
      <c r="D3" s="71"/>
      <c r="E3" s="71"/>
      <c r="F3" s="71"/>
    </row>
    <row r="4" spans="2:6" ht="25.5" x14ac:dyDescent="0.2">
      <c r="B4" s="67" t="s">
        <v>164</v>
      </c>
      <c r="C4" s="67"/>
      <c r="D4" s="71"/>
      <c r="E4" s="71"/>
      <c r="F4" s="71"/>
    </row>
    <row r="5" spans="2:6" x14ac:dyDescent="0.2">
      <c r="B5" s="67"/>
      <c r="C5" s="67"/>
      <c r="D5" s="71"/>
      <c r="E5" s="71"/>
      <c r="F5" s="71"/>
    </row>
    <row r="6" spans="2:6" x14ac:dyDescent="0.2">
      <c r="B6" s="66" t="s">
        <v>165</v>
      </c>
      <c r="C6" s="66"/>
      <c r="D6" s="70"/>
      <c r="E6" s="70" t="s">
        <v>166</v>
      </c>
      <c r="F6" s="70" t="s">
        <v>167</v>
      </c>
    </row>
    <row r="7" spans="2:6" ht="13.5" thickBot="1" x14ac:dyDescent="0.25">
      <c r="B7" s="67"/>
      <c r="C7" s="67"/>
      <c r="D7" s="71"/>
      <c r="E7" s="71"/>
      <c r="F7" s="71"/>
    </row>
    <row r="8" spans="2:6" ht="39" thickBot="1" x14ac:dyDescent="0.25">
      <c r="B8" s="68" t="s">
        <v>168</v>
      </c>
      <c r="C8" s="69"/>
      <c r="D8" s="72"/>
      <c r="E8" s="72">
        <v>3</v>
      </c>
      <c r="F8" s="73" t="s">
        <v>169</v>
      </c>
    </row>
    <row r="9" spans="2:6" x14ac:dyDescent="0.2">
      <c r="B9" s="67"/>
      <c r="C9" s="67"/>
      <c r="D9" s="71"/>
      <c r="E9" s="71"/>
      <c r="F9" s="71"/>
    </row>
    <row r="10" spans="2:6" x14ac:dyDescent="0.2">
      <c r="B10" s="67"/>
      <c r="C10" s="67"/>
      <c r="D10" s="71"/>
      <c r="E10" s="71"/>
      <c r="F10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2024-01-19T05:16:19Z</dcterms:modified>
</cp:coreProperties>
</file>