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12EA363-C9AF-494D-820A-8AC43C54A34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Q31" i="1"/>
  <c r="C7" i="1"/>
  <c r="E24" i="1"/>
  <c r="F24" i="1"/>
  <c r="C8" i="1"/>
  <c r="C21" i="1"/>
  <c r="C17" i="1"/>
  <c r="E21" i="1"/>
  <c r="F21" i="1"/>
  <c r="E26" i="1"/>
  <c r="F26" i="1"/>
  <c r="E27" i="1"/>
  <c r="F27" i="1"/>
  <c r="E29" i="1"/>
  <c r="F29" i="1"/>
  <c r="G29" i="1"/>
  <c r="K29" i="1"/>
  <c r="Q30" i="1"/>
  <c r="Q24" i="1"/>
  <c r="Q25" i="1"/>
  <c r="Q26" i="1"/>
  <c r="Q27" i="1"/>
  <c r="Q28" i="1"/>
  <c r="Q29" i="1"/>
  <c r="Q23" i="1"/>
  <c r="Q22" i="1"/>
  <c r="Q21" i="1"/>
  <c r="E23" i="1"/>
  <c r="F23" i="1"/>
  <c r="G23" i="1"/>
  <c r="I23" i="1"/>
  <c r="G30" i="1"/>
  <c r="J30" i="1"/>
  <c r="E28" i="1"/>
  <c r="F28" i="1"/>
  <c r="G28" i="1"/>
  <c r="K28" i="1"/>
  <c r="E31" i="1"/>
  <c r="F31" i="1"/>
  <c r="G31" i="1"/>
  <c r="I31" i="1"/>
  <c r="G27" i="1"/>
  <c r="J27" i="1"/>
  <c r="E25" i="1"/>
  <c r="F25" i="1"/>
  <c r="G25" i="1"/>
  <c r="J25" i="1"/>
  <c r="E30" i="1"/>
  <c r="F30" i="1"/>
  <c r="G24" i="1"/>
  <c r="J24" i="1"/>
  <c r="E22" i="1"/>
  <c r="F22" i="1"/>
  <c r="G22" i="1"/>
  <c r="I22" i="1"/>
  <c r="G21" i="1"/>
  <c r="G26" i="1"/>
  <c r="J26" i="1"/>
  <c r="H21" i="1"/>
  <c r="C11" i="1"/>
  <c r="C12" i="1"/>
  <c r="C16" i="1" l="1"/>
  <c r="D18" i="1" s="1"/>
  <c r="O26" i="1"/>
  <c r="O21" i="1"/>
  <c r="O31" i="1"/>
  <c r="O29" i="1"/>
  <c r="O23" i="1"/>
  <c r="O24" i="1"/>
  <c r="O25" i="1"/>
  <c r="O27" i="1"/>
  <c r="O28" i="1"/>
  <c r="C15" i="1"/>
  <c r="E16" i="1" s="1"/>
  <c r="O22" i="1"/>
  <c r="O30" i="1"/>
  <c r="E15" i="1"/>
  <c r="E17" i="1" l="1"/>
  <c r="C18" i="1"/>
</calcChain>
</file>

<file path=xl/sharedStrings.xml><?xml version="1.0" encoding="utf-8"?>
<sst xmlns="http://schemas.openxmlformats.org/spreadsheetml/2006/main" count="69" uniqueCount="51">
  <si>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</si>
  <si>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</si>
  <si>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</si>
  <si>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</si>
  <si>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</si>
  <si>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</si>
  <si>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</si>
  <si>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</si>
  <si>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</si>
  <si>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</si>
  <si>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</si>
  <si>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</si>
  <si>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</si>
  <si>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</si>
  <si>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</si>
  <si>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</si>
  <si>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</si>
  <si>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</si>
  <si>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</si>
  <si>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</si>
  <si>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</si>
  <si>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</si>
  <si>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</si>
  <si>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</si>
  <si>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</si>
  <si>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</si>
  <si>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</si>
  <si>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</si>
  <si>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</t>
  </si>
  <si>
    <t>IBVS 5583</t>
  </si>
  <si>
    <t>I</t>
  </si>
  <si>
    <t>IBVS</t>
  </si>
  <si>
    <t># of data points:</t>
  </si>
  <si>
    <t>NV Cas / ??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</si>
  <si>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</si>
  <si>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</si>
  <si>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</si>
  <si>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</si>
  <si>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</si>
  <si>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</si>
  <si>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</si>
  <si>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5871</t>
  </si>
  <si>
    <t>OEJV 0074</t>
  </si>
  <si>
    <t>CCD</t>
  </si>
  <si>
    <t>OEJV</t>
  </si>
  <si>
    <t>OEJV 0107</t>
  </si>
  <si>
    <t>Period checked by ToMcat 2010-01-01</t>
  </si>
  <si>
    <t>Nothing obvious</t>
  </si>
  <si>
    <t>IBVS 5960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</si>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</sst>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>
      <alignment vertical="top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7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>
      <alignment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4" fillId="0" borderId="0" xfId="0" applyFont="1">
      <alignment vertical="top"/>
    </xf>
    <xf numFmtId="0" fontId="4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NV Cas - O-C Diagr.</a:t>
            </a:r>
          </a:p>
        </c:rich>
      </c:tx>
      <c:layout>
        <c:manualLayout>
          <c:xMode val="edge"/>
          <c:yMode val="edge"/>
          <c:x val="0.3764139094891005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769252958613219"/>
          <c:w val="0.81906365094252553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8316.5</c:v>
                </c:pt>
                <c:pt idx="2">
                  <c:v>9268</c:v>
                </c:pt>
                <c:pt idx="3">
                  <c:v>8219.5</c:v>
                </c:pt>
                <c:pt idx="4">
                  <c:v>8226.5</c:v>
                </c:pt>
                <c:pt idx="5">
                  <c:v>8342.5</c:v>
                </c:pt>
                <c:pt idx="6">
                  <c:v>8347</c:v>
                </c:pt>
                <c:pt idx="7">
                  <c:v>8572.5</c:v>
                </c:pt>
                <c:pt idx="8">
                  <c:v>8573.5</c:v>
                </c:pt>
                <c:pt idx="9">
                  <c:v>8981</c:v>
                </c:pt>
                <c:pt idx="10">
                  <c:v>9536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75-407F-A2FC-8FB566DBF5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8316.5</c:v>
                </c:pt>
                <c:pt idx="2">
                  <c:v>9268</c:v>
                </c:pt>
                <c:pt idx="3">
                  <c:v>8219.5</c:v>
                </c:pt>
                <c:pt idx="4">
                  <c:v>8226.5</c:v>
                </c:pt>
                <c:pt idx="5">
                  <c:v>8342.5</c:v>
                </c:pt>
                <c:pt idx="6">
                  <c:v>8347</c:v>
                </c:pt>
                <c:pt idx="7">
                  <c:v>8572.5</c:v>
                </c:pt>
                <c:pt idx="8">
                  <c:v>8573.5</c:v>
                </c:pt>
                <c:pt idx="9">
                  <c:v>8981</c:v>
                </c:pt>
                <c:pt idx="10">
                  <c:v>9536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6.7231999993964564E-2</c:v>
                </c:pt>
                <c:pt idx="2">
                  <c:v>-0.41275599999789847</c:v>
                </c:pt>
                <c:pt idx="10">
                  <c:v>-3.2712000000174157E-2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75-407F-A2FC-8FB566DBF5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8316.5</c:v>
                </c:pt>
                <c:pt idx="2">
                  <c:v>9268</c:v>
                </c:pt>
                <c:pt idx="3">
                  <c:v>8219.5</c:v>
                </c:pt>
                <c:pt idx="4">
                  <c:v>8226.5</c:v>
                </c:pt>
                <c:pt idx="5">
                  <c:v>8342.5</c:v>
                </c:pt>
                <c:pt idx="6">
                  <c:v>8347</c:v>
                </c:pt>
                <c:pt idx="7">
                  <c:v>8572.5</c:v>
                </c:pt>
                <c:pt idx="8">
                  <c:v>8573.5</c:v>
                </c:pt>
                <c:pt idx="9">
                  <c:v>8981</c:v>
                </c:pt>
                <c:pt idx="10">
                  <c:v>9536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3">
                  <c:v>-0.32074400000419701</c:v>
                </c:pt>
                <c:pt idx="4">
                  <c:v>0.3059919999941485</c:v>
                </c:pt>
                <c:pt idx="5">
                  <c:v>-4.8790000000735745E-2</c:v>
                </c:pt>
                <c:pt idx="6">
                  <c:v>-0.65371400000731228</c:v>
                </c:pt>
                <c:pt idx="9">
                  <c:v>0.68856799999775831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75-407F-A2FC-8FB566DBF5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8316.5</c:v>
                </c:pt>
                <c:pt idx="2">
                  <c:v>9268</c:v>
                </c:pt>
                <c:pt idx="3">
                  <c:v>8219.5</c:v>
                </c:pt>
                <c:pt idx="4">
                  <c:v>8226.5</c:v>
                </c:pt>
                <c:pt idx="5">
                  <c:v>8342.5</c:v>
                </c:pt>
                <c:pt idx="6">
                  <c:v>8347</c:v>
                </c:pt>
                <c:pt idx="7">
                  <c:v>8572.5</c:v>
                </c:pt>
                <c:pt idx="8">
                  <c:v>8573.5</c:v>
                </c:pt>
                <c:pt idx="9">
                  <c:v>8981</c:v>
                </c:pt>
                <c:pt idx="10">
                  <c:v>9536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7">
                  <c:v>-0.4143499999991036</c:v>
                </c:pt>
                <c:pt idx="8">
                  <c:v>-0.21500200000446057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75-407F-A2FC-8FB566DBF5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8316.5</c:v>
                </c:pt>
                <c:pt idx="2">
                  <c:v>9268</c:v>
                </c:pt>
                <c:pt idx="3">
                  <c:v>8219.5</c:v>
                </c:pt>
                <c:pt idx="4">
                  <c:v>8226.5</c:v>
                </c:pt>
                <c:pt idx="5">
                  <c:v>8342.5</c:v>
                </c:pt>
                <c:pt idx="6">
                  <c:v>8347</c:v>
                </c:pt>
                <c:pt idx="7">
                  <c:v>8572.5</c:v>
                </c:pt>
                <c:pt idx="8">
                  <c:v>8573.5</c:v>
                </c:pt>
                <c:pt idx="9">
                  <c:v>8981</c:v>
                </c:pt>
                <c:pt idx="10">
                  <c:v>9536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75-407F-A2FC-8FB566DBF5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8316.5</c:v>
                </c:pt>
                <c:pt idx="2">
                  <c:v>9268</c:v>
                </c:pt>
                <c:pt idx="3">
                  <c:v>8219.5</c:v>
                </c:pt>
                <c:pt idx="4">
                  <c:v>8226.5</c:v>
                </c:pt>
                <c:pt idx="5">
                  <c:v>8342.5</c:v>
                </c:pt>
                <c:pt idx="6">
                  <c:v>8347</c:v>
                </c:pt>
                <c:pt idx="7">
                  <c:v>8572.5</c:v>
                </c:pt>
                <c:pt idx="8">
                  <c:v>8573.5</c:v>
                </c:pt>
                <c:pt idx="9">
                  <c:v>8981</c:v>
                </c:pt>
                <c:pt idx="10">
                  <c:v>9536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75-407F-A2FC-8FB566DBF5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3.2000000000000002E-3</c:v>
                  </c:pt>
                  <c:pt idx="2">
                    <c:v>2.9999999999999997E-4</c:v>
                  </c:pt>
                  <c:pt idx="3">
                    <c:v>3.5999999999999999E-3</c:v>
                  </c:pt>
                  <c:pt idx="4">
                    <c:v>1.8E-3</c:v>
                  </c:pt>
                  <c:pt idx="5">
                    <c:v>2.3E-3</c:v>
                  </c:pt>
                  <c:pt idx="6">
                    <c:v>3.0999999999999999E-3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8316.5</c:v>
                </c:pt>
                <c:pt idx="2">
                  <c:v>9268</c:v>
                </c:pt>
                <c:pt idx="3">
                  <c:v>8219.5</c:v>
                </c:pt>
                <c:pt idx="4">
                  <c:v>8226.5</c:v>
                </c:pt>
                <c:pt idx="5">
                  <c:v>8342.5</c:v>
                </c:pt>
                <c:pt idx="6">
                  <c:v>8347</c:v>
                </c:pt>
                <c:pt idx="7">
                  <c:v>8572.5</c:v>
                </c:pt>
                <c:pt idx="8">
                  <c:v>8573.5</c:v>
                </c:pt>
                <c:pt idx="9">
                  <c:v>8981</c:v>
                </c:pt>
                <c:pt idx="10">
                  <c:v>9536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75-407F-A2FC-8FB566DBF5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8316.5</c:v>
                </c:pt>
                <c:pt idx="2">
                  <c:v>9268</c:v>
                </c:pt>
                <c:pt idx="3">
                  <c:v>8219.5</c:v>
                </c:pt>
                <c:pt idx="4">
                  <c:v>8226.5</c:v>
                </c:pt>
                <c:pt idx="5">
                  <c:v>8342.5</c:v>
                </c:pt>
                <c:pt idx="6">
                  <c:v>8347</c:v>
                </c:pt>
                <c:pt idx="7">
                  <c:v>8572.5</c:v>
                </c:pt>
                <c:pt idx="8">
                  <c:v>8573.5</c:v>
                </c:pt>
                <c:pt idx="9">
                  <c:v>8981</c:v>
                </c:pt>
                <c:pt idx="10">
                  <c:v>9536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-2.2823124063053313E-2</c:v>
                </c:pt>
                <c:pt idx="1">
                  <c:v>-9.8420124980580351E-2</c:v>
                </c:pt>
                <c:pt idx="2">
                  <c:v>-0.10706926180172228</c:v>
                </c:pt>
                <c:pt idx="3">
                  <c:v>-9.7538394794925307E-2</c:v>
                </c:pt>
                <c:pt idx="4">
                  <c:v>-9.7602024808323098E-2</c:v>
                </c:pt>
                <c:pt idx="5">
                  <c:v>-9.8656465030343546E-2</c:v>
                </c:pt>
                <c:pt idx="6">
                  <c:v>-9.8697370038956414E-2</c:v>
                </c:pt>
                <c:pt idx="7">
                  <c:v>-0.10074716547055652</c:v>
                </c:pt>
                <c:pt idx="8">
                  <c:v>-0.1007562554724705</c:v>
                </c:pt>
                <c:pt idx="9">
                  <c:v>-0.10446043125241306</c:v>
                </c:pt>
                <c:pt idx="10">
                  <c:v>-0.1095053823146661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75-407F-A2FC-8FB566DB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831696"/>
        <c:axId val="1"/>
      </c:scatterChart>
      <c:valAx>
        <c:axId val="692831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831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62860256361331"/>
          <c:y val="0.92000129214617399"/>
          <c:w val="0.7463656138297737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19050</xdr:rowOff>
    </xdr:from>
    <xdr:to>
      <xdr:col>17</xdr:col>
      <xdr:colOff>38100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80C753-4058-62FF-6E44-011EAEAF9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0" t="s">
        <v>33</v>
      </c>
    </row>
    <row r="2" spans="1:7" x14ac:dyDescent="0.2">
      <c r="A2" t="s">
        <v>24</v>
      </c>
      <c r="B2" s="8" t="s">
        <v>28</v>
      </c>
      <c r="C2" s="40" t="s">
        <v>46</v>
      </c>
    </row>
    <row r="3" spans="1:7" ht="13.5" thickBot="1" x14ac:dyDescent="0.25">
      <c r="C3" s="20" t="s">
        <v>47</v>
      </c>
    </row>
    <row r="4" spans="1:7" ht="14.25" thickTop="1" thickBot="1" x14ac:dyDescent="0.25">
      <c r="A4" s="5" t="s">
        <v>0</v>
      </c>
      <c r="C4" s="2">
        <v>29102.542000000001</v>
      </c>
      <c r="D4" s="3">
        <v>2.7709920000000001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29102.542000000001</v>
      </c>
    </row>
    <row r="8" spans="1:7" x14ac:dyDescent="0.2">
      <c r="A8" t="s">
        <v>3</v>
      </c>
      <c r="C8">
        <f>+D4</f>
        <v>2.7709920000000001</v>
      </c>
    </row>
    <row r="9" spans="1:7" x14ac:dyDescent="0.2">
      <c r="A9" s="15" t="s">
        <v>34</v>
      </c>
      <c r="B9" s="8"/>
      <c r="C9" s="16">
        <v>-9.5</v>
      </c>
      <c r="D9" s="8" t="s">
        <v>35</v>
      </c>
      <c r="E9" s="8"/>
    </row>
    <row r="10" spans="1:7" ht="13.5" thickBot="1" x14ac:dyDescent="0.25">
      <c r="A10" s="8"/>
      <c r="B10" s="8"/>
      <c r="C10" s="4" t="s">
        <v>20</v>
      </c>
      <c r="D10" s="4" t="s">
        <v>21</v>
      </c>
      <c r="E10" s="8"/>
    </row>
    <row r="11" spans="1:7" x14ac:dyDescent="0.2">
      <c r="A11" s="8" t="s">
        <v>16</v>
      </c>
      <c r="B11" s="8"/>
      <c r="C11" s="17">
        <f ca="1">INTERCEPT(INDIRECT($G$11):G992,INDIRECT($F$11):F992)</f>
        <v>-2.2823124063053313E-2</v>
      </c>
      <c r="D11" s="18"/>
      <c r="E11" s="8"/>
      <c r="F11" s="19" t="str">
        <f>"F"&amp;E19</f>
        <v>F21</v>
      </c>
      <c r="G11" s="20" t="str">
        <f>"G"&amp;E19</f>
        <v>G21</v>
      </c>
    </row>
    <row r="12" spans="1:7" x14ac:dyDescent="0.2">
      <c r="A12" s="8" t="s">
        <v>17</v>
      </c>
      <c r="B12" s="8"/>
      <c r="C12" s="17">
        <f ca="1">SLOPE(INDIRECT($G$11):G992,INDIRECT($F$11):F992)</f>
        <v>-9.0900019139694621E-6</v>
      </c>
      <c r="D12" s="18"/>
      <c r="E12" s="8"/>
    </row>
    <row r="13" spans="1:7" x14ac:dyDescent="0.2">
      <c r="A13" s="8" t="s">
        <v>19</v>
      </c>
      <c r="B13" s="8"/>
      <c r="C13" s="18" t="s">
        <v>14</v>
      </c>
      <c r="D13" s="23" t="s">
        <v>49</v>
      </c>
      <c r="E13" s="16">
        <v>1</v>
      </c>
    </row>
    <row r="14" spans="1:7" x14ac:dyDescent="0.2">
      <c r="A14" s="8"/>
      <c r="B14" s="8"/>
      <c r="C14" s="8"/>
      <c r="D14" s="23" t="s">
        <v>36</v>
      </c>
      <c r="E14" s="24">
        <f ca="1">NOW()+15018.5+$C$9/24</f>
        <v>60328.762026504628</v>
      </c>
    </row>
    <row r="15" spans="1:7" x14ac:dyDescent="0.2">
      <c r="A15" s="21" t="s">
        <v>18</v>
      </c>
      <c r="B15" s="8"/>
      <c r="C15" s="22">
        <f ca="1">(C7+C11)+(C8+C12)*INT(MAX(F21:F3533))</f>
        <v>55526.61220661769</v>
      </c>
      <c r="D15" s="23" t="s">
        <v>50</v>
      </c>
      <c r="E15" s="24">
        <f ca="1">ROUND(2*(E14-$C$7)/$C$8,0)/2+E13</f>
        <v>11270</v>
      </c>
    </row>
    <row r="16" spans="1:7" x14ac:dyDescent="0.2">
      <c r="A16" s="25" t="s">
        <v>4</v>
      </c>
      <c r="B16" s="8"/>
      <c r="C16" s="26">
        <f ca="1">+C8+C12</f>
        <v>2.7709829099980863</v>
      </c>
      <c r="D16" s="23" t="s">
        <v>37</v>
      </c>
      <c r="E16" s="20">
        <f ca="1">ROUND(2*(E14-$C$15)/$C$16,0)/2+E13</f>
        <v>1734</v>
      </c>
    </row>
    <row r="17" spans="1:17" ht="13.5" thickBot="1" x14ac:dyDescent="0.25">
      <c r="A17" s="23" t="s">
        <v>32</v>
      </c>
      <c r="B17" s="8"/>
      <c r="C17" s="8">
        <f>COUNT(C21:C2191)</f>
        <v>11</v>
      </c>
      <c r="D17" s="23" t="s">
        <v>38</v>
      </c>
      <c r="E17" s="27">
        <f ca="1">+$C$15+$C$16*E16-15018.5-$C$9/24</f>
        <v>45313.392405887709</v>
      </c>
    </row>
    <row r="18" spans="1:17" x14ac:dyDescent="0.2">
      <c r="A18" s="25" t="s">
        <v>5</v>
      </c>
      <c r="B18" s="8"/>
      <c r="C18" s="28">
        <f ca="1">+C15</f>
        <v>55526.61220661769</v>
      </c>
      <c r="D18" s="29">
        <f ca="1">+C16</f>
        <v>2.7709829099980863</v>
      </c>
      <c r="E18" s="30" t="s">
        <v>39</v>
      </c>
    </row>
    <row r="19" spans="1:17" ht="13.5" thickTop="1" x14ac:dyDescent="0.2">
      <c r="A19" s="31" t="s">
        <v>40</v>
      </c>
      <c r="E19" s="32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31</v>
      </c>
      <c r="J20" s="7" t="s">
        <v>44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1">
        <f>+C4</f>
        <v>29102.542000000001</v>
      </c>
      <c r="D21" s="1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-2.2823124063053313E-2</v>
      </c>
      <c r="Q21" s="1">
        <f>+C21-15018.5</f>
        <v>14084.042000000001</v>
      </c>
    </row>
    <row r="22" spans="1:17" x14ac:dyDescent="0.2">
      <c r="A22" s="14" t="s">
        <v>29</v>
      </c>
      <c r="B22" s="9" t="s">
        <v>30</v>
      </c>
      <c r="C22" s="12">
        <v>52147.564200000001</v>
      </c>
      <c r="D22" s="13">
        <v>3.2000000000000002E-3</v>
      </c>
      <c r="E22">
        <f>+(C22-C$7)/C$8</f>
        <v>8316.5242627910866</v>
      </c>
      <c r="F22">
        <f>ROUND(2*E22,0)/2</f>
        <v>8316.5</v>
      </c>
      <c r="G22">
        <f>+C22-(C$7+F22*C$8)</f>
        <v>6.7231999993964564E-2</v>
      </c>
      <c r="I22">
        <f>+G22</f>
        <v>6.7231999993964564E-2</v>
      </c>
      <c r="O22">
        <f ca="1">+C$11+C$12*$F22</f>
        <v>-9.8420124980580351E-2</v>
      </c>
      <c r="Q22" s="1">
        <f>+C22-15018.5</f>
        <v>37129.064200000001</v>
      </c>
    </row>
    <row r="23" spans="1:17" x14ac:dyDescent="0.2">
      <c r="A23" s="33" t="s">
        <v>41</v>
      </c>
      <c r="B23" s="18" t="s">
        <v>30</v>
      </c>
      <c r="C23" s="33">
        <v>54783.683100000002</v>
      </c>
      <c r="D23" s="33">
        <v>2.9999999999999997E-4</v>
      </c>
      <c r="E23">
        <f>+(C23-C$7)/C$8</f>
        <v>9267.8510439582642</v>
      </c>
      <c r="F23">
        <f>ROUND(2*E23,0)/2</f>
        <v>9268</v>
      </c>
      <c r="G23">
        <f>+C23-(C$7+F23*C$8)</f>
        <v>-0.41275599999789847</v>
      </c>
      <c r="I23">
        <f>+G23</f>
        <v>-0.41275599999789847</v>
      </c>
      <c r="O23">
        <f ca="1">+C$11+C$12*$F23</f>
        <v>-0.10706926180172228</v>
      </c>
      <c r="Q23" s="1">
        <f>+C23-15018.5</f>
        <v>39765.183100000002</v>
      </c>
    </row>
    <row r="24" spans="1:17" x14ac:dyDescent="0.2">
      <c r="A24" s="34" t="s">
        <v>42</v>
      </c>
      <c r="B24" s="35" t="s">
        <v>30</v>
      </c>
      <c r="C24" s="36">
        <v>51878.39</v>
      </c>
      <c r="D24" s="36">
        <v>3.5999999999999999E-3</v>
      </c>
      <c r="E24">
        <f t="shared" ref="E24:E29" si="0">+(C24-C$7)/C$8</f>
        <v>8219.3842493951615</v>
      </c>
      <c r="F24">
        <f t="shared" ref="F24:F30" si="1">ROUND(2*E24,0)/2</f>
        <v>8219.5</v>
      </c>
      <c r="G24">
        <f t="shared" ref="G24:G29" si="2">+C24-(C$7+F24*C$8)</f>
        <v>-0.32074400000419701</v>
      </c>
      <c r="J24">
        <f t="shared" ref="J24:J29" si="3">+G24</f>
        <v>-0.32074400000419701</v>
      </c>
      <c r="O24">
        <f t="shared" ref="O24:O29" ca="1" si="4">+C$11+C$12*$F24</f>
        <v>-9.7538394794925307E-2</v>
      </c>
      <c r="Q24" s="1">
        <f t="shared" ref="Q24:Q29" si="5">+C24-15018.5</f>
        <v>36859.89</v>
      </c>
    </row>
    <row r="25" spans="1:17" x14ac:dyDescent="0.2">
      <c r="A25" s="34" t="s">
        <v>42</v>
      </c>
      <c r="B25" s="35" t="s">
        <v>30</v>
      </c>
      <c r="C25" s="36">
        <v>51898.413679999998</v>
      </c>
      <c r="D25" s="36">
        <v>1.8E-3</v>
      </c>
      <c r="E25">
        <f t="shared" si="0"/>
        <v>8226.6104268796134</v>
      </c>
      <c r="F25">
        <f t="shared" si="1"/>
        <v>8226.5</v>
      </c>
      <c r="G25">
        <f t="shared" si="2"/>
        <v>0.3059919999941485</v>
      </c>
      <c r="J25">
        <f t="shared" si="3"/>
        <v>0.3059919999941485</v>
      </c>
      <c r="O25">
        <f t="shared" ca="1" si="4"/>
        <v>-9.7602024808323098E-2</v>
      </c>
      <c r="Q25" s="1">
        <f t="shared" si="5"/>
        <v>36879.913679999998</v>
      </c>
    </row>
    <row r="26" spans="1:17" x14ac:dyDescent="0.2">
      <c r="A26" s="34" t="s">
        <v>42</v>
      </c>
      <c r="B26" s="35" t="s">
        <v>30</v>
      </c>
      <c r="C26" s="36">
        <v>52219.493970000003</v>
      </c>
      <c r="D26" s="36">
        <v>2.3E-3</v>
      </c>
      <c r="E26">
        <f t="shared" si="0"/>
        <v>8342.4823925872042</v>
      </c>
      <c r="F26">
        <f t="shared" si="1"/>
        <v>8342.5</v>
      </c>
      <c r="G26">
        <f t="shared" si="2"/>
        <v>-4.8790000000735745E-2</v>
      </c>
      <c r="J26">
        <f t="shared" si="3"/>
        <v>-4.8790000000735745E-2</v>
      </c>
      <c r="O26">
        <f t="shared" ca="1" si="4"/>
        <v>-9.8656465030343546E-2</v>
      </c>
      <c r="Q26" s="1">
        <f t="shared" si="5"/>
        <v>37200.993970000003</v>
      </c>
    </row>
    <row r="27" spans="1:17" x14ac:dyDescent="0.2">
      <c r="A27" s="34" t="s">
        <v>42</v>
      </c>
      <c r="B27" s="35" t="s">
        <v>30</v>
      </c>
      <c r="C27" s="36">
        <v>52231.358509999998</v>
      </c>
      <c r="D27" s="36">
        <v>3.0999999999999999E-3</v>
      </c>
      <c r="E27">
        <f t="shared" si="0"/>
        <v>8346.7640866519996</v>
      </c>
      <c r="F27">
        <f t="shared" si="1"/>
        <v>8347</v>
      </c>
      <c r="G27">
        <f t="shared" si="2"/>
        <v>-0.65371400000731228</v>
      </c>
      <c r="J27">
        <f t="shared" si="3"/>
        <v>-0.65371400000731228</v>
      </c>
      <c r="O27">
        <f t="shared" ca="1" si="4"/>
        <v>-9.8697370038956414E-2</v>
      </c>
      <c r="Q27" s="1">
        <f t="shared" si="5"/>
        <v>37212.858509999998</v>
      </c>
    </row>
    <row r="28" spans="1:17" x14ac:dyDescent="0.2">
      <c r="A28" s="34" t="s">
        <v>42</v>
      </c>
      <c r="B28" s="35" t="s">
        <v>30</v>
      </c>
      <c r="C28" s="36">
        <v>52856.456570000002</v>
      </c>
      <c r="D28" s="36" t="s">
        <v>43</v>
      </c>
      <c r="E28">
        <f t="shared" si="0"/>
        <v>8572.3504687130098</v>
      </c>
      <c r="F28">
        <f t="shared" si="1"/>
        <v>8572.5</v>
      </c>
      <c r="G28">
        <f t="shared" si="2"/>
        <v>-0.4143499999991036</v>
      </c>
      <c r="K28">
        <f>+G28</f>
        <v>-0.4143499999991036</v>
      </c>
      <c r="O28">
        <f t="shared" ca="1" si="4"/>
        <v>-0.10074716547055652</v>
      </c>
      <c r="Q28" s="1">
        <f t="shared" si="5"/>
        <v>37837.956570000002</v>
      </c>
    </row>
    <row r="29" spans="1:17" x14ac:dyDescent="0.2">
      <c r="A29" s="34" t="s">
        <v>42</v>
      </c>
      <c r="B29" s="35" t="s">
        <v>30</v>
      </c>
      <c r="C29" s="36">
        <v>52859.426910000002</v>
      </c>
      <c r="D29" s="36" t="s">
        <v>43</v>
      </c>
      <c r="E29">
        <f t="shared" si="0"/>
        <v>8573.4224097362967</v>
      </c>
      <c r="F29">
        <f t="shared" si="1"/>
        <v>8573.5</v>
      </c>
      <c r="G29">
        <f t="shared" si="2"/>
        <v>-0.21500200000446057</v>
      </c>
      <c r="K29">
        <f>+G29</f>
        <v>-0.21500200000446057</v>
      </c>
      <c r="O29">
        <f t="shared" ca="1" si="4"/>
        <v>-0.1007562554724705</v>
      </c>
      <c r="Q29" s="1">
        <f t="shared" si="5"/>
        <v>37840.926910000002</v>
      </c>
    </row>
    <row r="30" spans="1:17" x14ac:dyDescent="0.2">
      <c r="A30" s="41" t="s">
        <v>45</v>
      </c>
      <c r="B30" s="42" t="s">
        <v>30</v>
      </c>
      <c r="C30" s="33">
        <v>53989.509720000002</v>
      </c>
      <c r="D30" s="33">
        <v>2.9999999999999997E-4</v>
      </c>
      <c r="E30">
        <f>+(C30-C$7)/C$8</f>
        <v>8981.2484915149525</v>
      </c>
      <c r="F30">
        <f t="shared" si="1"/>
        <v>8981</v>
      </c>
      <c r="G30">
        <f>+C30-(C$7+F30*C$8)</f>
        <v>0.68856799999775831</v>
      </c>
      <c r="J30">
        <f>+G30</f>
        <v>0.68856799999775831</v>
      </c>
      <c r="O30">
        <f ca="1">+C$11+C$12*$F30</f>
        <v>-0.10446043125241306</v>
      </c>
      <c r="Q30" s="1">
        <f>+C30-15018.5</f>
        <v>38971.009720000002</v>
      </c>
    </row>
    <row r="31" spans="1:17" x14ac:dyDescent="0.2">
      <c r="A31" s="37" t="s">
        <v>48</v>
      </c>
      <c r="B31" s="38" t="s">
        <v>30</v>
      </c>
      <c r="C31" s="39">
        <v>55526.688999999998</v>
      </c>
      <c r="D31" s="39">
        <v>2.9999999999999997E-4</v>
      </c>
      <c r="E31">
        <f>+(C31-C$7)/C$8</f>
        <v>9535.9881948414131</v>
      </c>
      <c r="F31">
        <f>ROUND(2*E31,0)/2</f>
        <v>9536</v>
      </c>
      <c r="G31">
        <f>+C31-(C$7+F31*C$8)</f>
        <v>-3.2712000000174157E-2</v>
      </c>
      <c r="I31">
        <f>+G31</f>
        <v>-3.2712000000174157E-2</v>
      </c>
      <c r="O31">
        <f ca="1">+C$11+C$12*$F31</f>
        <v>-0.1095053823146661</v>
      </c>
      <c r="Q31" s="1">
        <f>+C31-15018.5</f>
        <v>40508.188999999998</v>
      </c>
    </row>
    <row r="32" spans="1:17" x14ac:dyDescent="0.2">
      <c r="C32" s="11"/>
      <c r="D32" s="11"/>
      <c r="Q32" s="1"/>
    </row>
    <row r="33" spans="3:4" x14ac:dyDescent="0.2">
      <c r="C33" s="11"/>
      <c r="D33" s="11"/>
    </row>
    <row r="34" spans="3:4" x14ac:dyDescent="0.2">
      <c r="C34" s="11"/>
      <c r="D34" s="11"/>
    </row>
    <row r="35" spans="3:4" x14ac:dyDescent="0.2">
      <c r="C35" s="11"/>
      <c r="D35" s="11"/>
    </row>
    <row r="36" spans="3:4" x14ac:dyDescent="0.2">
      <c r="C36" s="11"/>
      <c r="D36" s="11"/>
    </row>
    <row r="37" spans="3:4" x14ac:dyDescent="0.2">
      <c r="C37" s="11"/>
      <c r="D37" s="11"/>
    </row>
    <row r="38" spans="3:4" x14ac:dyDescent="0.2">
      <c r="C38" s="11"/>
      <c r="D38" s="11"/>
    </row>
    <row r="39" spans="3:4" x14ac:dyDescent="0.2">
      <c r="C39" s="11"/>
      <c r="D39" s="11"/>
    </row>
    <row r="40" spans="3:4" x14ac:dyDescent="0.2">
      <c r="C40" s="11"/>
      <c r="D40" s="11"/>
    </row>
    <row r="41" spans="3:4" x14ac:dyDescent="0.2">
      <c r="C41" s="11"/>
      <c r="D41" s="11"/>
    </row>
    <row r="42" spans="3:4" x14ac:dyDescent="0.2">
      <c r="C42" s="11"/>
      <c r="D42" s="11"/>
    </row>
    <row r="43" spans="3:4" x14ac:dyDescent="0.2">
      <c r="C43" s="11"/>
      <c r="D43" s="11"/>
    </row>
    <row r="44" spans="3:4" x14ac:dyDescent="0.2">
      <c r="C44" s="11"/>
      <c r="D44" s="11"/>
    </row>
    <row r="45" spans="3:4" x14ac:dyDescent="0.2">
      <c r="C45" s="11"/>
      <c r="D45" s="11"/>
    </row>
    <row r="46" spans="3:4" x14ac:dyDescent="0.2">
      <c r="C46" s="11"/>
      <c r="D46" s="11"/>
    </row>
    <row r="47" spans="3:4" x14ac:dyDescent="0.2">
      <c r="C47" s="11"/>
      <c r="D47" s="11"/>
    </row>
    <row r="48" spans="3:4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2024-01-19T05:17:19Z</dcterms:modified>
</cp:coreProperties>
</file>