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9EEA5A2-72C0-4D70-B3DF-9940E4CDDDF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90" i="1" l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1" i="1"/>
  <c r="Q43" i="1"/>
  <c r="Q44" i="1"/>
  <c r="Q45" i="1"/>
  <c r="Q46" i="1"/>
  <c r="Q47" i="1"/>
  <c r="Q48" i="1"/>
  <c r="Q49" i="1"/>
  <c r="Q50" i="1"/>
  <c r="Q51" i="1"/>
  <c r="Q53" i="1"/>
  <c r="Q54" i="1"/>
  <c r="Q55" i="1"/>
  <c r="Q57" i="1"/>
  <c r="Q63" i="1"/>
  <c r="Q66" i="1"/>
  <c r="Q67" i="1"/>
  <c r="Q68" i="1"/>
  <c r="Q74" i="1"/>
  <c r="Q75" i="1"/>
  <c r="Q76" i="1"/>
  <c r="Q78" i="1"/>
  <c r="Q79" i="1"/>
  <c r="Q80" i="1"/>
  <c r="Q81" i="1"/>
  <c r="Q82" i="1"/>
  <c r="Q83" i="1"/>
  <c r="Q84" i="1"/>
  <c r="Q85" i="1"/>
  <c r="Q86" i="1"/>
  <c r="Q87" i="1"/>
  <c r="Q88" i="1"/>
  <c r="G28" i="2"/>
  <c r="C28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27" i="2"/>
  <c r="C27" i="2"/>
  <c r="G26" i="2"/>
  <c r="C26" i="2"/>
  <c r="G25" i="2"/>
  <c r="C25" i="2"/>
  <c r="G24" i="2"/>
  <c r="C24" i="2"/>
  <c r="G23" i="2"/>
  <c r="C23" i="2"/>
  <c r="G64" i="2"/>
  <c r="C64" i="2"/>
  <c r="G63" i="2"/>
  <c r="C63" i="2"/>
  <c r="G62" i="2"/>
  <c r="C62" i="2"/>
  <c r="G22" i="2"/>
  <c r="C22" i="2"/>
  <c r="G21" i="2"/>
  <c r="C21" i="2"/>
  <c r="G61" i="2"/>
  <c r="C61" i="2"/>
  <c r="G20" i="2"/>
  <c r="C20" i="2"/>
  <c r="G19" i="2"/>
  <c r="C19" i="2"/>
  <c r="G18" i="2"/>
  <c r="C18" i="2"/>
  <c r="G17" i="2"/>
  <c r="C17" i="2"/>
  <c r="G16" i="2"/>
  <c r="C16" i="2"/>
  <c r="G60" i="2"/>
  <c r="C60" i="2"/>
  <c r="G15" i="2"/>
  <c r="C15" i="2"/>
  <c r="G59" i="2"/>
  <c r="C59" i="2"/>
  <c r="G58" i="2"/>
  <c r="C58" i="2"/>
  <c r="G57" i="2"/>
  <c r="C57" i="2"/>
  <c r="G14" i="2"/>
  <c r="C14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13" i="2"/>
  <c r="C13" i="2"/>
  <c r="G47" i="2"/>
  <c r="C47" i="2"/>
  <c r="G12" i="2"/>
  <c r="C12" i="2"/>
  <c r="G46" i="2"/>
  <c r="C46" i="2"/>
  <c r="G11" i="2"/>
  <c r="C11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H28" i="2"/>
  <c r="B28" i="2"/>
  <c r="F28" i="2"/>
  <c r="D28" i="2"/>
  <c r="A28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64" i="2"/>
  <c r="B64" i="2"/>
  <c r="D64" i="2"/>
  <c r="A64" i="2"/>
  <c r="H63" i="2"/>
  <c r="B63" i="2"/>
  <c r="D63" i="2"/>
  <c r="A63" i="2"/>
  <c r="H62" i="2"/>
  <c r="B62" i="2"/>
  <c r="D62" i="2"/>
  <c r="A62" i="2"/>
  <c r="H22" i="2"/>
  <c r="B22" i="2"/>
  <c r="D22" i="2"/>
  <c r="A22" i="2"/>
  <c r="H21" i="2"/>
  <c r="B21" i="2"/>
  <c r="D21" i="2"/>
  <c r="A21" i="2"/>
  <c r="H61" i="2"/>
  <c r="B61" i="2"/>
  <c r="D61" i="2"/>
  <c r="A6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60" i="2"/>
  <c r="B60" i="2"/>
  <c r="D60" i="2"/>
  <c r="A60" i="2"/>
  <c r="H15" i="2"/>
  <c r="B15" i="2"/>
  <c r="D15" i="2"/>
  <c r="A15" i="2"/>
  <c r="H59" i="2"/>
  <c r="B59" i="2"/>
  <c r="D59" i="2"/>
  <c r="A59" i="2"/>
  <c r="H58" i="2"/>
  <c r="B58" i="2"/>
  <c r="D58" i="2"/>
  <c r="A58" i="2"/>
  <c r="H57" i="2"/>
  <c r="B57" i="2"/>
  <c r="D57" i="2"/>
  <c r="A57" i="2"/>
  <c r="H14" i="2"/>
  <c r="B14" i="2"/>
  <c r="D14" i="2"/>
  <c r="A14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13" i="2"/>
  <c r="B13" i="2"/>
  <c r="D13" i="2"/>
  <c r="A13" i="2"/>
  <c r="H47" i="2"/>
  <c r="B47" i="2"/>
  <c r="D47" i="2"/>
  <c r="A47" i="2"/>
  <c r="H12" i="2"/>
  <c r="D12" i="2"/>
  <c r="B12" i="2"/>
  <c r="A12" i="2"/>
  <c r="H46" i="2"/>
  <c r="B46" i="2"/>
  <c r="D46" i="2"/>
  <c r="A46" i="2"/>
  <c r="H11" i="2"/>
  <c r="B11" i="2"/>
  <c r="D11" i="2"/>
  <c r="A11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F16" i="1"/>
  <c r="F17" i="1" s="1"/>
  <c r="C17" i="1"/>
  <c r="Q38" i="1"/>
  <c r="Q40" i="1"/>
  <c r="Q42" i="1"/>
  <c r="Q52" i="1"/>
  <c r="Q56" i="1"/>
  <c r="Q58" i="1"/>
  <c r="Q59" i="1"/>
  <c r="Q60" i="1"/>
  <c r="Q61" i="1"/>
  <c r="Q62" i="1"/>
  <c r="Q64" i="1"/>
  <c r="Q65" i="1"/>
  <c r="Q69" i="1"/>
  <c r="Q70" i="1"/>
  <c r="Q71" i="1"/>
  <c r="Q72" i="1"/>
  <c r="Q73" i="1"/>
  <c r="Q89" i="1"/>
  <c r="C8" i="1"/>
  <c r="C7" i="1"/>
  <c r="Q77" i="1"/>
  <c r="E30" i="2"/>
  <c r="E45" i="2"/>
  <c r="E35" i="2"/>
  <c r="E40" i="2"/>
  <c r="E72" i="2"/>
  <c r="E90" i="1"/>
  <c r="F90" i="1"/>
  <c r="E28" i="1"/>
  <c r="F28" i="1"/>
  <c r="E36" i="1"/>
  <c r="F36" i="1"/>
  <c r="G36" i="1"/>
  <c r="I36" i="1"/>
  <c r="E47" i="1"/>
  <c r="F47" i="1"/>
  <c r="G47" i="1"/>
  <c r="I47" i="1"/>
  <c r="E57" i="1"/>
  <c r="F57" i="1"/>
  <c r="G57" i="1"/>
  <c r="I57" i="1"/>
  <c r="E78" i="1"/>
  <c r="F78" i="1"/>
  <c r="E88" i="1"/>
  <c r="F88" i="1"/>
  <c r="E59" i="1"/>
  <c r="F59" i="1"/>
  <c r="G59" i="1"/>
  <c r="J59" i="1"/>
  <c r="E71" i="1"/>
  <c r="F71" i="1"/>
  <c r="E23" i="1"/>
  <c r="F23" i="1"/>
  <c r="E31" i="1"/>
  <c r="F31" i="1"/>
  <c r="E41" i="1"/>
  <c r="F41" i="1"/>
  <c r="G41" i="1"/>
  <c r="I41" i="1"/>
  <c r="E50" i="1"/>
  <c r="F50" i="1"/>
  <c r="E67" i="1"/>
  <c r="F67" i="1"/>
  <c r="E81" i="1"/>
  <c r="F81" i="1"/>
  <c r="E40" i="1"/>
  <c r="F40" i="1"/>
  <c r="G40" i="1"/>
  <c r="J40" i="1"/>
  <c r="E62" i="1"/>
  <c r="F62" i="1"/>
  <c r="E89" i="1"/>
  <c r="F89" i="1"/>
  <c r="G90" i="1"/>
  <c r="I90" i="1"/>
  <c r="E21" i="1"/>
  <c r="F21" i="1"/>
  <c r="E26" i="1"/>
  <c r="F26" i="1"/>
  <c r="G28" i="1"/>
  <c r="I28" i="1"/>
  <c r="E34" i="1"/>
  <c r="F34" i="1"/>
  <c r="G34" i="1"/>
  <c r="I34" i="1"/>
  <c r="E45" i="1"/>
  <c r="F45" i="1"/>
  <c r="E54" i="1"/>
  <c r="F54" i="1"/>
  <c r="E75" i="1"/>
  <c r="F75" i="1"/>
  <c r="G78" i="1"/>
  <c r="I78" i="1"/>
  <c r="E84" i="1"/>
  <c r="F84" i="1"/>
  <c r="G84" i="1"/>
  <c r="I84" i="1"/>
  <c r="E56" i="1"/>
  <c r="F56" i="1"/>
  <c r="E69" i="1"/>
  <c r="F69" i="1"/>
  <c r="G71" i="1"/>
  <c r="H71" i="1"/>
  <c r="G88" i="1"/>
  <c r="I88" i="1"/>
  <c r="G23" i="1"/>
  <c r="I23" i="1"/>
  <c r="E29" i="1"/>
  <c r="F29" i="1"/>
  <c r="G29" i="1"/>
  <c r="I29" i="1"/>
  <c r="G31" i="1"/>
  <c r="I31" i="1"/>
  <c r="E37" i="1"/>
  <c r="F37" i="1"/>
  <c r="E48" i="1"/>
  <c r="F48" i="1"/>
  <c r="G50" i="1"/>
  <c r="I50" i="1"/>
  <c r="E63" i="1"/>
  <c r="F63" i="1"/>
  <c r="G67" i="1"/>
  <c r="I67" i="1"/>
  <c r="E79" i="1"/>
  <c r="F79" i="1"/>
  <c r="G79" i="1"/>
  <c r="I79" i="1"/>
  <c r="G81" i="1"/>
  <c r="I81" i="1"/>
  <c r="E77" i="1"/>
  <c r="F77" i="1"/>
  <c r="E60" i="1"/>
  <c r="F60" i="1"/>
  <c r="G62" i="1"/>
  <c r="J62" i="1"/>
  <c r="E72" i="1"/>
  <c r="F72" i="1"/>
  <c r="G21" i="1"/>
  <c r="E24" i="1"/>
  <c r="F24" i="1"/>
  <c r="G24" i="1"/>
  <c r="I24" i="1"/>
  <c r="G26" i="1"/>
  <c r="I26" i="1"/>
  <c r="E32" i="1"/>
  <c r="F32" i="1"/>
  <c r="E43" i="1"/>
  <c r="F43" i="1"/>
  <c r="G45" i="1"/>
  <c r="I45" i="1"/>
  <c r="E51" i="1"/>
  <c r="F51" i="1"/>
  <c r="G54" i="1"/>
  <c r="I54" i="1"/>
  <c r="E68" i="1"/>
  <c r="F68" i="1"/>
  <c r="G68" i="1"/>
  <c r="I68" i="1"/>
  <c r="G75" i="1"/>
  <c r="I75" i="1"/>
  <c r="E82" i="1"/>
  <c r="F82" i="1"/>
  <c r="E42" i="1"/>
  <c r="F42" i="1"/>
  <c r="G56" i="1"/>
  <c r="J56" i="1"/>
  <c r="E64" i="1"/>
  <c r="F64" i="1"/>
  <c r="G64" i="1"/>
  <c r="J64" i="1"/>
  <c r="G69" i="1"/>
  <c r="H69" i="1"/>
  <c r="G85" i="1"/>
  <c r="I85" i="1"/>
  <c r="G89" i="1"/>
  <c r="J89" i="1"/>
  <c r="E27" i="1"/>
  <c r="F27" i="1"/>
  <c r="E35" i="1"/>
  <c r="F35" i="1"/>
  <c r="G37" i="1"/>
  <c r="I37" i="1"/>
  <c r="E46" i="1"/>
  <c r="F46" i="1"/>
  <c r="G46" i="1"/>
  <c r="I46" i="1"/>
  <c r="G48" i="1"/>
  <c r="I48" i="1"/>
  <c r="E55" i="1"/>
  <c r="F55" i="1"/>
  <c r="G55" i="1"/>
  <c r="I55" i="1"/>
  <c r="G63" i="1"/>
  <c r="I63" i="1"/>
  <c r="E76" i="1"/>
  <c r="F76" i="1"/>
  <c r="E85" i="1"/>
  <c r="F85" i="1"/>
  <c r="G77" i="1"/>
  <c r="H77" i="1"/>
  <c r="E58" i="1"/>
  <c r="F58" i="1"/>
  <c r="G58" i="1"/>
  <c r="J58" i="1"/>
  <c r="G60" i="1"/>
  <c r="J60" i="1"/>
  <c r="E70" i="1"/>
  <c r="F70" i="1"/>
  <c r="G70" i="1"/>
  <c r="H70" i="1"/>
  <c r="G72" i="1"/>
  <c r="H72" i="1"/>
  <c r="E22" i="1"/>
  <c r="F22" i="1"/>
  <c r="G22" i="1"/>
  <c r="I22" i="1"/>
  <c r="E30" i="1"/>
  <c r="F30" i="1"/>
  <c r="G30" i="1"/>
  <c r="I30" i="1"/>
  <c r="G32" i="1"/>
  <c r="I32" i="1"/>
  <c r="E39" i="1"/>
  <c r="F39" i="1"/>
  <c r="G39" i="1"/>
  <c r="I39" i="1"/>
  <c r="G43" i="1"/>
  <c r="I43" i="1"/>
  <c r="E49" i="1"/>
  <c r="F49" i="1"/>
  <c r="G49" i="1"/>
  <c r="I49" i="1"/>
  <c r="G51" i="1"/>
  <c r="I51" i="1"/>
  <c r="E66" i="1"/>
  <c r="F66" i="1"/>
  <c r="G66" i="1"/>
  <c r="I66" i="1"/>
  <c r="E80" i="1"/>
  <c r="F80" i="1"/>
  <c r="G80" i="1"/>
  <c r="I80" i="1"/>
  <c r="G82" i="1"/>
  <c r="I82" i="1"/>
  <c r="E86" i="1"/>
  <c r="F86" i="1"/>
  <c r="G86" i="1"/>
  <c r="I86" i="1"/>
  <c r="E38" i="1"/>
  <c r="F38" i="1"/>
  <c r="G38" i="1"/>
  <c r="J38" i="1"/>
  <c r="G42" i="1"/>
  <c r="J42" i="1"/>
  <c r="E61" i="1"/>
  <c r="F61" i="1"/>
  <c r="G61" i="1"/>
  <c r="J61" i="1"/>
  <c r="E73" i="1"/>
  <c r="F73" i="1"/>
  <c r="G73" i="1"/>
  <c r="H73" i="1"/>
  <c r="E25" i="1"/>
  <c r="F25" i="1"/>
  <c r="G25" i="1"/>
  <c r="I25" i="1"/>
  <c r="G27" i="1"/>
  <c r="I27" i="1"/>
  <c r="E33" i="1"/>
  <c r="F33" i="1"/>
  <c r="G33" i="1"/>
  <c r="I33" i="1"/>
  <c r="G35" i="1"/>
  <c r="I35" i="1"/>
  <c r="E44" i="1"/>
  <c r="F44" i="1"/>
  <c r="G44" i="1"/>
  <c r="I44" i="1"/>
  <c r="E53" i="1"/>
  <c r="F53" i="1"/>
  <c r="G53" i="1"/>
  <c r="I53" i="1"/>
  <c r="E74" i="1"/>
  <c r="F74" i="1"/>
  <c r="G74" i="1"/>
  <c r="I74" i="1"/>
  <c r="G76" i="1"/>
  <c r="I76" i="1"/>
  <c r="E83" i="1"/>
  <c r="F83" i="1"/>
  <c r="G83" i="1"/>
  <c r="I83" i="1"/>
  <c r="E87" i="1"/>
  <c r="F87" i="1"/>
  <c r="G87" i="1"/>
  <c r="I87" i="1"/>
  <c r="E52" i="1"/>
  <c r="F52" i="1"/>
  <c r="G52" i="1"/>
  <c r="J52" i="1"/>
  <c r="E65" i="1"/>
  <c r="F65" i="1"/>
  <c r="G65" i="1"/>
  <c r="J65" i="1"/>
  <c r="E41" i="2"/>
  <c r="E11" i="2"/>
  <c r="E54" i="2"/>
  <c r="E58" i="2"/>
  <c r="E22" i="2"/>
  <c r="E28" i="2"/>
  <c r="E31" i="2"/>
  <c r="E36" i="2"/>
  <c r="E46" i="2"/>
  <c r="E49" i="2"/>
  <c r="E59" i="2"/>
  <c r="E67" i="2"/>
  <c r="E73" i="2"/>
  <c r="E37" i="2"/>
  <c r="E42" i="2"/>
  <c r="E50" i="2"/>
  <c r="E55" i="2"/>
  <c r="E62" i="2"/>
  <c r="E68" i="2"/>
  <c r="E74" i="2"/>
  <c r="E32" i="2"/>
  <c r="E43" i="2"/>
  <c r="E12" i="2"/>
  <c r="E56" i="2"/>
  <c r="E15" i="2"/>
  <c r="E33" i="2"/>
  <c r="E38" i="2"/>
  <c r="E47" i="2"/>
  <c r="E51" i="2"/>
  <c r="E60" i="2"/>
  <c r="E20" i="2"/>
  <c r="E27" i="2"/>
  <c r="E69" i="2"/>
  <c r="E75" i="2"/>
  <c r="E29" i="2"/>
  <c r="E39" i="2"/>
  <c r="E44" i="2"/>
  <c r="E52" i="2"/>
  <c r="E64" i="2"/>
  <c r="E70" i="2"/>
  <c r="E76" i="2"/>
  <c r="E26" i="2"/>
  <c r="E61" i="2"/>
  <c r="E63" i="2"/>
  <c r="E25" i="2"/>
  <c r="E24" i="2"/>
  <c r="E53" i="2"/>
  <c r="E16" i="2"/>
  <c r="E14" i="2"/>
  <c r="E19" i="2"/>
  <c r="E18" i="2"/>
  <c r="E48" i="2"/>
  <c r="E57" i="2"/>
  <c r="E13" i="2"/>
  <c r="E78" i="2"/>
  <c r="I21" i="1"/>
  <c r="E77" i="2"/>
  <c r="E34" i="2"/>
  <c r="E66" i="2"/>
  <c r="E71" i="2"/>
  <c r="E21" i="2"/>
  <c r="E65" i="2"/>
  <c r="E17" i="2"/>
  <c r="E23" i="2"/>
  <c r="C11" i="1"/>
  <c r="C12" i="1"/>
  <c r="C16" i="1" l="1"/>
  <c r="D18" i="1" s="1"/>
  <c r="O41" i="1"/>
  <c r="O75" i="1"/>
  <c r="O87" i="1"/>
  <c r="O35" i="1"/>
  <c r="O49" i="1"/>
  <c r="O74" i="1"/>
  <c r="O59" i="1"/>
  <c r="O65" i="1"/>
  <c r="O52" i="1"/>
  <c r="O83" i="1"/>
  <c r="O60" i="1"/>
  <c r="O62" i="1"/>
  <c r="O88" i="1"/>
  <c r="C15" i="1"/>
  <c r="O51" i="1"/>
  <c r="O47" i="1"/>
  <c r="O90" i="1"/>
  <c r="O68" i="1"/>
  <c r="O57" i="1"/>
  <c r="O30" i="1"/>
  <c r="O61" i="1"/>
  <c r="O27" i="1"/>
  <c r="O77" i="1"/>
  <c r="O50" i="1"/>
  <c r="O84" i="1"/>
  <c r="O24" i="1"/>
  <c r="O46" i="1"/>
  <c r="O66" i="1"/>
  <c r="O71" i="1"/>
  <c r="O36" i="1"/>
  <c r="O22" i="1"/>
  <c r="O79" i="1"/>
  <c r="O73" i="1"/>
  <c r="O67" i="1"/>
  <c r="O21" i="1"/>
  <c r="O32" i="1"/>
  <c r="O55" i="1"/>
  <c r="O80" i="1"/>
  <c r="O28" i="1"/>
  <c r="O56" i="1"/>
  <c r="O40" i="1"/>
  <c r="O72" i="1"/>
  <c r="O29" i="1"/>
  <c r="O76" i="1"/>
  <c r="O69" i="1"/>
  <c r="O37" i="1"/>
  <c r="O25" i="1"/>
  <c r="O42" i="1"/>
  <c r="O34" i="1"/>
  <c r="O33" i="1"/>
  <c r="O38" i="1"/>
  <c r="O45" i="1"/>
  <c r="O44" i="1"/>
  <c r="O81" i="1"/>
  <c r="O43" i="1"/>
  <c r="O89" i="1"/>
  <c r="O26" i="1"/>
  <c r="O85" i="1"/>
  <c r="O64" i="1"/>
  <c r="O48" i="1"/>
  <c r="O58" i="1"/>
  <c r="O82" i="1"/>
  <c r="O70" i="1"/>
  <c r="O31" i="1"/>
  <c r="O53" i="1"/>
  <c r="O23" i="1"/>
  <c r="O63" i="1"/>
  <c r="O78" i="1"/>
  <c r="O54" i="1"/>
  <c r="O39" i="1"/>
  <c r="O86" i="1"/>
  <c r="F18" i="1" l="1"/>
  <c r="F19" i="1" s="1"/>
  <c r="C18" i="1"/>
</calcChain>
</file>

<file path=xl/sharedStrings.xml><?xml version="1.0" encoding="utf-8"?>
<sst xmlns="http://schemas.openxmlformats.org/spreadsheetml/2006/main" count="744" uniqueCount="298">
  <si>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</si>
  <si>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</si>
  <si>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</si>
  <si>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</si>
  <si>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</si>
  <si>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</si>
  <si>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</si>
  <si>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</si>
  <si>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</si>
  <si>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</si>
  <si>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</si>
  <si>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</si>
  <si>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</si>
  <si>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</si>
  <si>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</si>
  <si>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</si>
  <si>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</si>
  <si>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</si>
  <si>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</si>
  <si>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</si>
  <si>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</si>
  <si>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</si>
  <si>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</si>
  <si>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</si>
  <si>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</si>
  <si>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</si>
  <si>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</si>
  <si>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</si>
  <si>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</si>
  <si>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5016</t>
  </si>
  <si>
    <t>I</t>
  </si>
  <si>
    <t># of data points:</t>
  </si>
  <si>
    <t>SX Cas / GSC 03656-01637</t>
  </si>
  <si>
    <t>EA/GS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</si>
  <si>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</si>
  <si>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</si>
  <si>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</si>
  <si>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</si>
  <si>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</si>
  <si>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</si>
  <si>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1430</t>
  </si>
  <si>
    <t>pg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</si>
  <si>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</si>
  <si>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</si>
  <si>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</si>
  <si>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</si>
  <si>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</si>
  <si>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</si>
  <si>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</si>
  <si>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</si>
  <si>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</si>
  <si>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</si>
  <si>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</si>
  <si>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</si>
  <si>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</si>
  <si>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2417471.1 </t>
  </si>
  <si>
    <t> 17.09.1906 14:24 </t>
  </si>
  <si>
    <t> -2.4 </t>
  </si>
  <si>
    <t>P </t>
  </si>
  <si>
    <t> W.Ceraski </t>
  </si>
  <si>
    <t> AN 176.218 </t>
  </si>
  <si>
    <t>2417800.3 </t>
  </si>
  <si>
    <t> 12.08.1907 19:12 </t>
  </si>
  <si>
    <t> -2.2 </t>
  </si>
  <si>
    <t>2417873.7 </t>
  </si>
  <si>
    <t> 25.10.1907 04:48 </t>
  </si>
  <si>
    <t> -2.0 </t>
  </si>
  <si>
    <t>V </t>
  </si>
  <si>
    <t> S.Blazko </t>
  </si>
  <si>
    <t> AN 178.136 </t>
  </si>
  <si>
    <t>2417910.1 </t>
  </si>
  <si>
    <t> 30.11.1907 14:24 </t>
  </si>
  <si>
    <t> -2.1 </t>
  </si>
  <si>
    <t> S.Enebo (Dugan) </t>
  </si>
  <si>
    <t> CPRI 13.2 </t>
  </si>
  <si>
    <t>2417946.9 </t>
  </si>
  <si>
    <t> 06.01.1908 09:36 </t>
  </si>
  <si>
    <t> -1.9 </t>
  </si>
  <si>
    <t>2417983.4 </t>
  </si>
  <si>
    <t> 11.02.1908 21:36 </t>
  </si>
  <si>
    <t> M.Luizet </t>
  </si>
  <si>
    <t> AN 171.172 </t>
  </si>
  <si>
    <t>2417983.6 </t>
  </si>
  <si>
    <t> 12.02.1908 02:24 </t>
  </si>
  <si>
    <t> -1.8 </t>
  </si>
  <si>
    <t>2418019.9 </t>
  </si>
  <si>
    <t> 19.03.1908 09:36 </t>
  </si>
  <si>
    <t>2418020.0 </t>
  </si>
  <si>
    <t> 19.03.1908 12:00 </t>
  </si>
  <si>
    <t>2418202.5 </t>
  </si>
  <si>
    <t> 18.09.1908 00:00 </t>
  </si>
  <si>
    <t> -2.3 </t>
  </si>
  <si>
    <t>2418239.3 </t>
  </si>
  <si>
    <t> 24.10.1908 19:12 </t>
  </si>
  <si>
    <t>2418275.9 </t>
  </si>
  <si>
    <t> 30.11.1908 09:36 </t>
  </si>
  <si>
    <t>2418312.6 </t>
  </si>
  <si>
    <t> 06.01.1909 02:24 </t>
  </si>
  <si>
    <t>2418348.9 </t>
  </si>
  <si>
    <t> 11.02.1909 09:36 </t>
  </si>
  <si>
    <t>2418568.3 </t>
  </si>
  <si>
    <t> 18.09.1909 19:12 </t>
  </si>
  <si>
    <t>2419592.1 </t>
  </si>
  <si>
    <t> 08.07.1912 14:24 </t>
  </si>
  <si>
    <t>2419811.7 </t>
  </si>
  <si>
    <t> 13.02.1913 04:48 </t>
  </si>
  <si>
    <t>2422627.44 </t>
  </si>
  <si>
    <t> 29.10.1920 22:33 </t>
  </si>
  <si>
    <t> -1.52 </t>
  </si>
  <si>
    <t> Dugan (Whitney) </t>
  </si>
  <si>
    <t> CPRI 13 </t>
  </si>
  <si>
    <t>2423084.32 </t>
  </si>
  <si>
    <t> 29.01.1922 19:40 </t>
  </si>
  <si>
    <t> -1.69 </t>
  </si>
  <si>
    <t> J.Haas </t>
  </si>
  <si>
    <t> AN 220.337 </t>
  </si>
  <si>
    <t>2423358.78 </t>
  </si>
  <si>
    <t> 31.10.1922 06:43 </t>
  </si>
  <si>
    <t> -1.46 </t>
  </si>
  <si>
    <t>2423614.62 </t>
  </si>
  <si>
    <t> 14.07.1923 02:52 </t>
  </si>
  <si>
    <t> -1.57 </t>
  </si>
  <si>
    <t> A.A.Nijland </t>
  </si>
  <si>
    <t> BAN 6.116 </t>
  </si>
  <si>
    <t>2423724.46 </t>
  </si>
  <si>
    <t> 31.10.1923 23:02 </t>
  </si>
  <si>
    <t> -1.42 </t>
  </si>
  <si>
    <t>2423742.34 </t>
  </si>
  <si>
    <t> 18.11.1923 20:09 </t>
  </si>
  <si>
    <t> -1.82 </t>
  </si>
  <si>
    <t> R.S.Dugan </t>
  </si>
  <si>
    <t>2423980.37 </t>
  </si>
  <si>
    <t> 13.07.1924 20:52 </t>
  </si>
  <si>
    <t> -1.45 </t>
  </si>
  <si>
    <t>2424492.39 </t>
  </si>
  <si>
    <t> 07.12.1925 21:21 </t>
  </si>
  <si>
    <t> -1.33 </t>
  </si>
  <si>
    <t>2425004.44 </t>
  </si>
  <si>
    <t> 03.05.1927 22:33 </t>
  </si>
  <si>
    <t> -1.17 </t>
  </si>
  <si>
    <t>2425260.19 </t>
  </si>
  <si>
    <t> 14.01.1928 16:33 </t>
  </si>
  <si>
    <t> -1.36 </t>
  </si>
  <si>
    <t>2425516.22 </t>
  </si>
  <si>
    <t> 26.09.1928 17:16 </t>
  </si>
  <si>
    <t> -1.28 </t>
  </si>
  <si>
    <t>2425589.51 </t>
  </si>
  <si>
    <t> 09.12.1928 00:14 </t>
  </si>
  <si>
    <t> -1.12 </t>
  </si>
  <si>
    <t>2425699.04 </t>
  </si>
  <si>
    <t> 28.03.1929 12:57 </t>
  </si>
  <si>
    <t>2425809.00 </t>
  </si>
  <si>
    <t> 16.07.1929 12:00 </t>
  </si>
  <si>
    <t> -1.01 </t>
  </si>
  <si>
    <t>2425918.54 </t>
  </si>
  <si>
    <t> 03.11.1929 00:57 </t>
  </si>
  <si>
    <t> -1.16 </t>
  </si>
  <si>
    <t>2425918.69 </t>
  </si>
  <si>
    <t> 03.11.1929 04:33 </t>
  </si>
  <si>
    <t>2426101.4 </t>
  </si>
  <si>
    <t> 04.05.1930 21:36 </t>
  </si>
  <si>
    <t> -1.1 </t>
  </si>
  <si>
    <t> R.Szafraniec </t>
  </si>
  <si>
    <t> COVS </t>
  </si>
  <si>
    <t>2430599.81 </t>
  </si>
  <si>
    <t> 28.08.1942 07:26 </t>
  </si>
  <si>
    <t> -0.05 </t>
  </si>
  <si>
    <t> A.Soloviev </t>
  </si>
  <si>
    <t> AC 39.4 </t>
  </si>
  <si>
    <t>2430635.70 </t>
  </si>
  <si>
    <t> 03.10.1942 04:48 </t>
  </si>
  <si>
    <t> -0.73 </t>
  </si>
  <si>
    <t> B.S.Whitney </t>
  </si>
  <si>
    <t>IBVS 1430 </t>
  </si>
  <si>
    <t>2430671.961 </t>
  </si>
  <si>
    <t> 08.11.1942 11:03 </t>
  </si>
  <si>
    <t> -1.029 </t>
  </si>
  <si>
    <t> S.Gaposchkin </t>
  </si>
  <si>
    <t> HA 113.72 </t>
  </si>
  <si>
    <t>2431403.56 </t>
  </si>
  <si>
    <t> 09.11.1944 01:26 </t>
  </si>
  <si>
    <t> -0.70 </t>
  </si>
  <si>
    <t>2432500.61 </t>
  </si>
  <si>
    <t> 11.11.1947 02:38 </t>
  </si>
  <si>
    <t> -0.57 </t>
  </si>
  <si>
    <t>2433158.78 </t>
  </si>
  <si>
    <t> 30.08.1949 06:43 </t>
  </si>
  <si>
    <t> -0.54 </t>
  </si>
  <si>
    <t>2433195.33 </t>
  </si>
  <si>
    <t> 05.10.1949 19:55 </t>
  </si>
  <si>
    <t> -0.56 </t>
  </si>
  <si>
    <t>2433597.63 </t>
  </si>
  <si>
    <t> 12.11.1950 03:07 </t>
  </si>
  <si>
    <t> -0.46 </t>
  </si>
  <si>
    <t>2433963.28 </t>
  </si>
  <si>
    <t> 12.11.1951 18:43 </t>
  </si>
  <si>
    <t> -0.45 </t>
  </si>
  <si>
    <t> O.Günther </t>
  </si>
  <si>
    <t> AN 285.99 </t>
  </si>
  <si>
    <t>2434036.35 </t>
  </si>
  <si>
    <t> 24.01.1952 20:24 </t>
  </si>
  <si>
    <t> -0.50 </t>
  </si>
  <si>
    <t>2434292.29 </t>
  </si>
  <si>
    <t> 06.10.1952 18:57 </t>
  </si>
  <si>
    <t> -0.51 </t>
  </si>
  <si>
    <t>2434987.4 </t>
  </si>
  <si>
    <t> 01.09.1954 21:36 </t>
  </si>
  <si>
    <t> -0.1 </t>
  </si>
  <si>
    <t> AA 8.190 </t>
  </si>
  <si>
    <t>2435132.36 </t>
  </si>
  <si>
    <t> 24.01.1955 20:38 </t>
  </si>
  <si>
    <t> -1.41 </t>
  </si>
  <si>
    <t> G.Romano </t>
  </si>
  <si>
    <t> MSAI 29.474 </t>
  </si>
  <si>
    <t>2435717.35 </t>
  </si>
  <si>
    <t> 31.08.1956 20:24 </t>
  </si>
  <si>
    <t> -1.44 </t>
  </si>
  <si>
    <t>2435754.98 </t>
  </si>
  <si>
    <t> 08.10.1956 11:31 </t>
  </si>
  <si>
    <t> -0.37 </t>
  </si>
  <si>
    <t>2436047.45 </t>
  </si>
  <si>
    <t> 27.07.1957 22:48 </t>
  </si>
  <si>
    <t> -0.41 </t>
  </si>
  <si>
    <t>2436193.83 </t>
  </si>
  <si>
    <t> 21.12.1957 07:55 </t>
  </si>
  <si>
    <t> -0.29 </t>
  </si>
  <si>
    <t>2436779.00 </t>
  </si>
  <si>
    <t> 29.07.1959 12:00 </t>
  </si>
  <si>
    <t> -0.14 </t>
  </si>
  <si>
    <t>2437217.73 </t>
  </si>
  <si>
    <t> 10.10.1960 05:31 </t>
  </si>
  <si>
    <t> -0.17 </t>
  </si>
  <si>
    <t>2438314.66 </t>
  </si>
  <si>
    <t> 12.10.1963 03:50 </t>
  </si>
  <si>
    <t> -0.15 </t>
  </si>
  <si>
    <t>E </t>
  </si>
  <si>
    <t>?</t>
  </si>
  <si>
    <t> C.Y.Shao </t>
  </si>
  <si>
    <t> AJ 72.480 </t>
  </si>
  <si>
    <t>2438899.9 </t>
  </si>
  <si>
    <t> 19.05.1965 09:36 </t>
  </si>
  <si>
    <t> 0.1 </t>
  </si>
  <si>
    <t> R.H.Koch </t>
  </si>
  <si>
    <t> AJ 77.500 </t>
  </si>
  <si>
    <t>2439009.5 </t>
  </si>
  <si>
    <t> 06.09.1965 00:00 </t>
  </si>
  <si>
    <t> -0.0 </t>
  </si>
  <si>
    <t>2439119.3 </t>
  </si>
  <si>
    <t> 24.12.1965 19:12 </t>
  </si>
  <si>
    <t>2439411.4 </t>
  </si>
  <si>
    <t> 12.10.1966 21:36 </t>
  </si>
  <si>
    <t> -0.3 </t>
  </si>
  <si>
    <t>2439448.4 </t>
  </si>
  <si>
    <t> 18.11.1966 21:36 </t>
  </si>
  <si>
    <t>2442300.53 </t>
  </si>
  <si>
    <t> 10.09.1974 00:43 </t>
  </si>
  <si>
    <t> 0.27 </t>
  </si>
  <si>
    <t> J.Hudec </t>
  </si>
  <si>
    <t> BRNO 20 </t>
  </si>
  <si>
    <t>2442592.60 </t>
  </si>
  <si>
    <t> 29.06.1975 02:24 </t>
  </si>
  <si>
    <t> G.Samolyk </t>
  </si>
  <si>
    <t> AVSJ 7.32 </t>
  </si>
  <si>
    <t>2442592.68 </t>
  </si>
  <si>
    <t> 29.06.1975 04:19 </t>
  </si>
  <si>
    <t> -0.09 </t>
  </si>
  <si>
    <t> G.Wedemayer </t>
  </si>
  <si>
    <t>2442739.2 </t>
  </si>
  <si>
    <t> 22.11.1975 16:48 </t>
  </si>
  <si>
    <t> 0.2 </t>
  </si>
  <si>
    <t> A.Mallama </t>
  </si>
  <si>
    <t>IBVS 1249 </t>
  </si>
  <si>
    <t>2443909.11 </t>
  </si>
  <si>
    <t> 04.02.1979 14:38 </t>
  </si>
  <si>
    <t> 0.04 </t>
  </si>
  <si>
    <t> Guinan &amp; Tomczyk </t>
  </si>
  <si>
    <t>IBVS 1623 </t>
  </si>
  <si>
    <t>2448260.67 </t>
  </si>
  <si>
    <t> 04.01.1991 04:04 </t>
  </si>
  <si>
    <t> 0.52 </t>
  </si>
  <si>
    <t> H.Busch </t>
  </si>
  <si>
    <t>BAVM 131 </t>
  </si>
  <si>
    <t>2451075.64 </t>
  </si>
  <si>
    <t> 19.09.1998 03:21 </t>
  </si>
  <si>
    <t> 0.08 </t>
  </si>
  <si>
    <t> R.Meyer </t>
  </si>
  <si>
    <t>BAVM 122 </t>
  </si>
  <si>
    <t>2451076.16 </t>
  </si>
  <si>
    <t> 19.09.1998 15:50 </t>
  </si>
  <si>
    <t> 0.60 </t>
  </si>
  <si>
    <t>2451387.497 </t>
  </si>
  <si>
    <t> 27.07.1999 23:55 </t>
  </si>
  <si>
    <t> 1.143 </t>
  </si>
  <si>
    <t>o</t>
  </si>
  <si>
    <t> Brauner&amp;Strunk </t>
  </si>
  <si>
    <t>BAVM 132 </t>
  </si>
  <si>
    <t>II</t>
  </si>
  <si>
    <t>IBVS 1623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</si>
</sst>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Cas - O-C Diagr.</a:t>
            </a:r>
          </a:p>
        </c:rich>
      </c:tx>
      <c:layout>
        <c:manualLayout>
          <c:xMode val="edge"/>
          <c:yMode val="edge"/>
          <c:x val="0.342975640441638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830586412249012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-589</c:v>
                </c:pt>
                <c:pt idx="1">
                  <c:v>-580</c:v>
                </c:pt>
                <c:pt idx="2">
                  <c:v>-578</c:v>
                </c:pt>
                <c:pt idx="3">
                  <c:v>-577</c:v>
                </c:pt>
                <c:pt idx="4">
                  <c:v>-576</c:v>
                </c:pt>
                <c:pt idx="5">
                  <c:v>-575</c:v>
                </c:pt>
                <c:pt idx="6">
                  <c:v>-575</c:v>
                </c:pt>
                <c:pt idx="7">
                  <c:v>-574</c:v>
                </c:pt>
                <c:pt idx="8">
                  <c:v>-574</c:v>
                </c:pt>
                <c:pt idx="9">
                  <c:v>-569</c:v>
                </c:pt>
                <c:pt idx="10">
                  <c:v>-568</c:v>
                </c:pt>
                <c:pt idx="11">
                  <c:v>-567</c:v>
                </c:pt>
                <c:pt idx="12">
                  <c:v>-566</c:v>
                </c:pt>
                <c:pt idx="13">
                  <c:v>-565</c:v>
                </c:pt>
                <c:pt idx="14">
                  <c:v>-559</c:v>
                </c:pt>
                <c:pt idx="15">
                  <c:v>-531</c:v>
                </c:pt>
                <c:pt idx="16">
                  <c:v>-525</c:v>
                </c:pt>
                <c:pt idx="17">
                  <c:v>-448</c:v>
                </c:pt>
                <c:pt idx="18">
                  <c:v>-435.5</c:v>
                </c:pt>
                <c:pt idx="19">
                  <c:v>-428</c:v>
                </c:pt>
                <c:pt idx="20">
                  <c:v>-421</c:v>
                </c:pt>
                <c:pt idx="21">
                  <c:v>-418</c:v>
                </c:pt>
                <c:pt idx="22">
                  <c:v>-417.5</c:v>
                </c:pt>
                <c:pt idx="23">
                  <c:v>-411</c:v>
                </c:pt>
                <c:pt idx="24">
                  <c:v>-397</c:v>
                </c:pt>
                <c:pt idx="25">
                  <c:v>-383</c:v>
                </c:pt>
                <c:pt idx="26">
                  <c:v>-376</c:v>
                </c:pt>
                <c:pt idx="27">
                  <c:v>-369</c:v>
                </c:pt>
                <c:pt idx="28">
                  <c:v>-367</c:v>
                </c:pt>
                <c:pt idx="29">
                  <c:v>-364</c:v>
                </c:pt>
                <c:pt idx="30">
                  <c:v>-361</c:v>
                </c:pt>
                <c:pt idx="31">
                  <c:v>-358</c:v>
                </c:pt>
                <c:pt idx="32">
                  <c:v>-358</c:v>
                </c:pt>
                <c:pt idx="33">
                  <c:v>-353</c:v>
                </c:pt>
                <c:pt idx="34">
                  <c:v>-230</c:v>
                </c:pt>
                <c:pt idx="35">
                  <c:v>-229</c:v>
                </c:pt>
                <c:pt idx="36">
                  <c:v>-228</c:v>
                </c:pt>
                <c:pt idx="37">
                  <c:v>-208</c:v>
                </c:pt>
                <c:pt idx="38">
                  <c:v>-178</c:v>
                </c:pt>
                <c:pt idx="39">
                  <c:v>-160</c:v>
                </c:pt>
                <c:pt idx="40">
                  <c:v>-159</c:v>
                </c:pt>
                <c:pt idx="41">
                  <c:v>-148</c:v>
                </c:pt>
                <c:pt idx="42">
                  <c:v>-138</c:v>
                </c:pt>
                <c:pt idx="43">
                  <c:v>-136</c:v>
                </c:pt>
                <c:pt idx="44">
                  <c:v>-129</c:v>
                </c:pt>
                <c:pt idx="45">
                  <c:v>-110</c:v>
                </c:pt>
                <c:pt idx="46">
                  <c:v>-106</c:v>
                </c:pt>
                <c:pt idx="47">
                  <c:v>-90</c:v>
                </c:pt>
                <c:pt idx="48">
                  <c:v>-89</c:v>
                </c:pt>
                <c:pt idx="49">
                  <c:v>-81</c:v>
                </c:pt>
                <c:pt idx="50">
                  <c:v>-77</c:v>
                </c:pt>
                <c:pt idx="51">
                  <c:v>-61</c:v>
                </c:pt>
                <c:pt idx="52">
                  <c:v>-49</c:v>
                </c:pt>
                <c:pt idx="53">
                  <c:v>-19</c:v>
                </c:pt>
                <c:pt idx="54">
                  <c:v>-3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11</c:v>
                </c:pt>
                <c:pt idx="59">
                  <c:v>12</c:v>
                </c:pt>
                <c:pt idx="60">
                  <c:v>90</c:v>
                </c:pt>
                <c:pt idx="61">
                  <c:v>98</c:v>
                </c:pt>
                <c:pt idx="62">
                  <c:v>98</c:v>
                </c:pt>
                <c:pt idx="63">
                  <c:v>102</c:v>
                </c:pt>
                <c:pt idx="64">
                  <c:v>134</c:v>
                </c:pt>
                <c:pt idx="65">
                  <c:v>253</c:v>
                </c:pt>
                <c:pt idx="66">
                  <c:v>330</c:v>
                </c:pt>
                <c:pt idx="67">
                  <c:v>330</c:v>
                </c:pt>
                <c:pt idx="68">
                  <c:v>338.5</c:v>
                </c:pt>
                <c:pt idx="69">
                  <c:v>420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48">
                  <c:v>-0.37124999999650754</c:v>
                </c:pt>
                <c:pt idx="49">
                  <c:v>-0.41125000000465661</c:v>
                </c:pt>
                <c:pt idx="50">
                  <c:v>-0.28624999999738066</c:v>
                </c:pt>
                <c:pt idx="51">
                  <c:v>-0.13625000000320142</c:v>
                </c:pt>
                <c:pt idx="52">
                  <c:v>-0.17124999999941792</c:v>
                </c:pt>
                <c:pt idx="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4A-4983-B54D-4B8BB29CE9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-589</c:v>
                </c:pt>
                <c:pt idx="1">
                  <c:v>-580</c:v>
                </c:pt>
                <c:pt idx="2">
                  <c:v>-578</c:v>
                </c:pt>
                <c:pt idx="3">
                  <c:v>-577</c:v>
                </c:pt>
                <c:pt idx="4">
                  <c:v>-576</c:v>
                </c:pt>
                <c:pt idx="5">
                  <c:v>-575</c:v>
                </c:pt>
                <c:pt idx="6">
                  <c:v>-575</c:v>
                </c:pt>
                <c:pt idx="7">
                  <c:v>-574</c:v>
                </c:pt>
                <c:pt idx="8">
                  <c:v>-574</c:v>
                </c:pt>
                <c:pt idx="9">
                  <c:v>-569</c:v>
                </c:pt>
                <c:pt idx="10">
                  <c:v>-568</c:v>
                </c:pt>
                <c:pt idx="11">
                  <c:v>-567</c:v>
                </c:pt>
                <c:pt idx="12">
                  <c:v>-566</c:v>
                </c:pt>
                <c:pt idx="13">
                  <c:v>-565</c:v>
                </c:pt>
                <c:pt idx="14">
                  <c:v>-559</c:v>
                </c:pt>
                <c:pt idx="15">
                  <c:v>-531</c:v>
                </c:pt>
                <c:pt idx="16">
                  <c:v>-525</c:v>
                </c:pt>
                <c:pt idx="17">
                  <c:v>-448</c:v>
                </c:pt>
                <c:pt idx="18">
                  <c:v>-435.5</c:v>
                </c:pt>
                <c:pt idx="19">
                  <c:v>-428</c:v>
                </c:pt>
                <c:pt idx="20">
                  <c:v>-421</c:v>
                </c:pt>
                <c:pt idx="21">
                  <c:v>-418</c:v>
                </c:pt>
                <c:pt idx="22">
                  <c:v>-417.5</c:v>
                </c:pt>
                <c:pt idx="23">
                  <c:v>-411</c:v>
                </c:pt>
                <c:pt idx="24">
                  <c:v>-397</c:v>
                </c:pt>
                <c:pt idx="25">
                  <c:v>-383</c:v>
                </c:pt>
                <c:pt idx="26">
                  <c:v>-376</c:v>
                </c:pt>
                <c:pt idx="27">
                  <c:v>-369</c:v>
                </c:pt>
                <c:pt idx="28">
                  <c:v>-367</c:v>
                </c:pt>
                <c:pt idx="29">
                  <c:v>-364</c:v>
                </c:pt>
                <c:pt idx="30">
                  <c:v>-361</c:v>
                </c:pt>
                <c:pt idx="31">
                  <c:v>-358</c:v>
                </c:pt>
                <c:pt idx="32">
                  <c:v>-358</c:v>
                </c:pt>
                <c:pt idx="33">
                  <c:v>-353</c:v>
                </c:pt>
                <c:pt idx="34">
                  <c:v>-230</c:v>
                </c:pt>
                <c:pt idx="35">
                  <c:v>-229</c:v>
                </c:pt>
                <c:pt idx="36">
                  <c:v>-228</c:v>
                </c:pt>
                <c:pt idx="37">
                  <c:v>-208</c:v>
                </c:pt>
                <c:pt idx="38">
                  <c:v>-178</c:v>
                </c:pt>
                <c:pt idx="39">
                  <c:v>-160</c:v>
                </c:pt>
                <c:pt idx="40">
                  <c:v>-159</c:v>
                </c:pt>
                <c:pt idx="41">
                  <c:v>-148</c:v>
                </c:pt>
                <c:pt idx="42">
                  <c:v>-138</c:v>
                </c:pt>
                <c:pt idx="43">
                  <c:v>-136</c:v>
                </c:pt>
                <c:pt idx="44">
                  <c:v>-129</c:v>
                </c:pt>
                <c:pt idx="45">
                  <c:v>-110</c:v>
                </c:pt>
                <c:pt idx="46">
                  <c:v>-106</c:v>
                </c:pt>
                <c:pt idx="47">
                  <c:v>-90</c:v>
                </c:pt>
                <c:pt idx="48">
                  <c:v>-89</c:v>
                </c:pt>
                <c:pt idx="49">
                  <c:v>-81</c:v>
                </c:pt>
                <c:pt idx="50">
                  <c:v>-77</c:v>
                </c:pt>
                <c:pt idx="51">
                  <c:v>-61</c:v>
                </c:pt>
                <c:pt idx="52">
                  <c:v>-49</c:v>
                </c:pt>
                <c:pt idx="53">
                  <c:v>-19</c:v>
                </c:pt>
                <c:pt idx="54">
                  <c:v>-3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11</c:v>
                </c:pt>
                <c:pt idx="59">
                  <c:v>12</c:v>
                </c:pt>
                <c:pt idx="60">
                  <c:v>90</c:v>
                </c:pt>
                <c:pt idx="61">
                  <c:v>98</c:v>
                </c:pt>
                <c:pt idx="62">
                  <c:v>98</c:v>
                </c:pt>
                <c:pt idx="63">
                  <c:v>102</c:v>
                </c:pt>
                <c:pt idx="64">
                  <c:v>134</c:v>
                </c:pt>
                <c:pt idx="65">
                  <c:v>253</c:v>
                </c:pt>
                <c:pt idx="66">
                  <c:v>330</c:v>
                </c:pt>
                <c:pt idx="67">
                  <c:v>330</c:v>
                </c:pt>
                <c:pt idx="68">
                  <c:v>338.5</c:v>
                </c:pt>
                <c:pt idx="69">
                  <c:v>420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-2.3762500000048021</c:v>
                </c:pt>
                <c:pt idx="1">
                  <c:v>-2.250000000003638</c:v>
                </c:pt>
                <c:pt idx="2">
                  <c:v>-1.9775000000008731</c:v>
                </c:pt>
                <c:pt idx="3">
                  <c:v>-2.1412500000042201</c:v>
                </c:pt>
                <c:pt idx="4">
                  <c:v>-1.9049999999988358</c:v>
                </c:pt>
                <c:pt idx="5">
                  <c:v>-1.96875</c:v>
                </c:pt>
                <c:pt idx="6">
                  <c:v>-1.7687500000029104</c:v>
                </c:pt>
                <c:pt idx="7">
                  <c:v>-2.0325000000011642</c:v>
                </c:pt>
                <c:pt idx="8">
                  <c:v>-1.9325000000026193</c:v>
                </c:pt>
                <c:pt idx="9">
                  <c:v>-2.2512500000011642</c:v>
                </c:pt>
                <c:pt idx="10">
                  <c:v>-2.0150000000030559</c:v>
                </c:pt>
                <c:pt idx="11">
                  <c:v>-1.9787500000020373</c:v>
                </c:pt>
                <c:pt idx="12">
                  <c:v>-1.8425000000024738</c:v>
                </c:pt>
                <c:pt idx="13">
                  <c:v>-2.1062500000007276</c:v>
                </c:pt>
                <c:pt idx="14">
                  <c:v>-2.0887500000026193</c:v>
                </c:pt>
                <c:pt idx="15">
                  <c:v>-2.0737500000032014</c:v>
                </c:pt>
                <c:pt idx="16">
                  <c:v>-1.8562500000007276</c:v>
                </c:pt>
                <c:pt idx="18">
                  <c:v>-1.6918750000040745</c:v>
                </c:pt>
                <c:pt idx="20">
                  <c:v>-1.5662500000034925</c:v>
                </c:pt>
                <c:pt idx="22">
                  <c:v>-1.8193750000027649</c:v>
                </c:pt>
                <c:pt idx="23">
                  <c:v>-1.4537500000042201</c:v>
                </c:pt>
                <c:pt idx="24">
                  <c:v>-1.3262500000018917</c:v>
                </c:pt>
                <c:pt idx="25">
                  <c:v>-1.1687500000007276</c:v>
                </c:pt>
                <c:pt idx="26">
                  <c:v>-1.3650000000016007</c:v>
                </c:pt>
                <c:pt idx="27">
                  <c:v>-1.28125</c:v>
                </c:pt>
                <c:pt idx="28">
                  <c:v>-1.1187500000050932</c:v>
                </c:pt>
                <c:pt idx="29">
                  <c:v>-1.2799999999988358</c:v>
                </c:pt>
                <c:pt idx="30">
                  <c:v>-1.0112500000032014</c:v>
                </c:pt>
                <c:pt idx="32">
                  <c:v>-1.0125000000007276</c:v>
                </c:pt>
                <c:pt idx="33">
                  <c:v>-1.1212500000001455</c:v>
                </c:pt>
                <c:pt idx="34">
                  <c:v>-5.2500000001600711E-2</c:v>
                </c:pt>
                <c:pt idx="36">
                  <c:v>-1.0290000000022701</c:v>
                </c:pt>
                <c:pt idx="42">
                  <c:v>-0.44750000000203727</c:v>
                </c:pt>
                <c:pt idx="45">
                  <c:v>-0.11250000000291038</c:v>
                </c:pt>
                <c:pt idx="46">
                  <c:v>-1.4075000000011642</c:v>
                </c:pt>
                <c:pt idx="47">
                  <c:v>-1.4375</c:v>
                </c:pt>
                <c:pt idx="53">
                  <c:v>-0.15374999999767169</c:v>
                </c:pt>
                <c:pt idx="54">
                  <c:v>6.625000000349246E-2</c:v>
                </c:pt>
                <c:pt idx="55">
                  <c:v>-2.5000000001455192E-2</c:v>
                </c:pt>
                <c:pt idx="57">
                  <c:v>8.3749999997962732E-2</c:v>
                </c:pt>
                <c:pt idx="58">
                  <c:v>-0.32624999999825377</c:v>
                </c:pt>
                <c:pt idx="59">
                  <c:v>0.11000000000058208</c:v>
                </c:pt>
                <c:pt idx="60">
                  <c:v>0.26749999999447027</c:v>
                </c:pt>
                <c:pt idx="61">
                  <c:v>-0.17250000000058208</c:v>
                </c:pt>
                <c:pt idx="62">
                  <c:v>-9.2499999998835847E-2</c:v>
                </c:pt>
                <c:pt idx="63">
                  <c:v>0.17249999999330612</c:v>
                </c:pt>
                <c:pt idx="64">
                  <c:v>4.2499999995925464E-2</c:v>
                </c:pt>
                <c:pt idx="65">
                  <c:v>0.51625000000058208</c:v>
                </c:pt>
                <c:pt idx="66">
                  <c:v>7.7499999999417923E-2</c:v>
                </c:pt>
                <c:pt idx="67">
                  <c:v>0.59750000000349246</c:v>
                </c:pt>
                <c:pt idx="69">
                  <c:v>1.1119999999937136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4A-4983-B54D-4B8BB29CE9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-589</c:v>
                </c:pt>
                <c:pt idx="1">
                  <c:v>-580</c:v>
                </c:pt>
                <c:pt idx="2">
                  <c:v>-578</c:v>
                </c:pt>
                <c:pt idx="3">
                  <c:v>-577</c:v>
                </c:pt>
                <c:pt idx="4">
                  <c:v>-576</c:v>
                </c:pt>
                <c:pt idx="5">
                  <c:v>-575</c:v>
                </c:pt>
                <c:pt idx="6">
                  <c:v>-575</c:v>
                </c:pt>
                <c:pt idx="7">
                  <c:v>-574</c:v>
                </c:pt>
                <c:pt idx="8">
                  <c:v>-574</c:v>
                </c:pt>
                <c:pt idx="9">
                  <c:v>-569</c:v>
                </c:pt>
                <c:pt idx="10">
                  <c:v>-568</c:v>
                </c:pt>
                <c:pt idx="11">
                  <c:v>-567</c:v>
                </c:pt>
                <c:pt idx="12">
                  <c:v>-566</c:v>
                </c:pt>
                <c:pt idx="13">
                  <c:v>-565</c:v>
                </c:pt>
                <c:pt idx="14">
                  <c:v>-559</c:v>
                </c:pt>
                <c:pt idx="15">
                  <c:v>-531</c:v>
                </c:pt>
                <c:pt idx="16">
                  <c:v>-525</c:v>
                </c:pt>
                <c:pt idx="17">
                  <c:v>-448</c:v>
                </c:pt>
                <c:pt idx="18">
                  <c:v>-435.5</c:v>
                </c:pt>
                <c:pt idx="19">
                  <c:v>-428</c:v>
                </c:pt>
                <c:pt idx="20">
                  <c:v>-421</c:v>
                </c:pt>
                <c:pt idx="21">
                  <c:v>-418</c:v>
                </c:pt>
                <c:pt idx="22">
                  <c:v>-417.5</c:v>
                </c:pt>
                <c:pt idx="23">
                  <c:v>-411</c:v>
                </c:pt>
                <c:pt idx="24">
                  <c:v>-397</c:v>
                </c:pt>
                <c:pt idx="25">
                  <c:v>-383</c:v>
                </c:pt>
                <c:pt idx="26">
                  <c:v>-376</c:v>
                </c:pt>
                <c:pt idx="27">
                  <c:v>-369</c:v>
                </c:pt>
                <c:pt idx="28">
                  <c:v>-367</c:v>
                </c:pt>
                <c:pt idx="29">
                  <c:v>-364</c:v>
                </c:pt>
                <c:pt idx="30">
                  <c:v>-361</c:v>
                </c:pt>
                <c:pt idx="31">
                  <c:v>-358</c:v>
                </c:pt>
                <c:pt idx="32">
                  <c:v>-358</c:v>
                </c:pt>
                <c:pt idx="33">
                  <c:v>-353</c:v>
                </c:pt>
                <c:pt idx="34">
                  <c:v>-230</c:v>
                </c:pt>
                <c:pt idx="35">
                  <c:v>-229</c:v>
                </c:pt>
                <c:pt idx="36">
                  <c:v>-228</c:v>
                </c:pt>
                <c:pt idx="37">
                  <c:v>-208</c:v>
                </c:pt>
                <c:pt idx="38">
                  <c:v>-178</c:v>
                </c:pt>
                <c:pt idx="39">
                  <c:v>-160</c:v>
                </c:pt>
                <c:pt idx="40">
                  <c:v>-159</c:v>
                </c:pt>
                <c:pt idx="41">
                  <c:v>-148</c:v>
                </c:pt>
                <c:pt idx="42">
                  <c:v>-138</c:v>
                </c:pt>
                <c:pt idx="43">
                  <c:v>-136</c:v>
                </c:pt>
                <c:pt idx="44">
                  <c:v>-129</c:v>
                </c:pt>
                <c:pt idx="45">
                  <c:v>-110</c:v>
                </c:pt>
                <c:pt idx="46">
                  <c:v>-106</c:v>
                </c:pt>
                <c:pt idx="47">
                  <c:v>-90</c:v>
                </c:pt>
                <c:pt idx="48">
                  <c:v>-89</c:v>
                </c:pt>
                <c:pt idx="49">
                  <c:v>-81</c:v>
                </c:pt>
                <c:pt idx="50">
                  <c:v>-77</c:v>
                </c:pt>
                <c:pt idx="51">
                  <c:v>-61</c:v>
                </c:pt>
                <c:pt idx="52">
                  <c:v>-49</c:v>
                </c:pt>
                <c:pt idx="53">
                  <c:v>-19</c:v>
                </c:pt>
                <c:pt idx="54">
                  <c:v>-3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11</c:v>
                </c:pt>
                <c:pt idx="59">
                  <c:v>12</c:v>
                </c:pt>
                <c:pt idx="60">
                  <c:v>90</c:v>
                </c:pt>
                <c:pt idx="61">
                  <c:v>98</c:v>
                </c:pt>
                <c:pt idx="62">
                  <c:v>98</c:v>
                </c:pt>
                <c:pt idx="63">
                  <c:v>102</c:v>
                </c:pt>
                <c:pt idx="64">
                  <c:v>134</c:v>
                </c:pt>
                <c:pt idx="65">
                  <c:v>253</c:v>
                </c:pt>
                <c:pt idx="66">
                  <c:v>330</c:v>
                </c:pt>
                <c:pt idx="67">
                  <c:v>330</c:v>
                </c:pt>
                <c:pt idx="68">
                  <c:v>338.5</c:v>
                </c:pt>
                <c:pt idx="69">
                  <c:v>420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7">
                  <c:v>-1.5250000000050932</c:v>
                </c:pt>
                <c:pt idx="19">
                  <c:v>-1.4600000000027649</c:v>
                </c:pt>
                <c:pt idx="21">
                  <c:v>-1.4175000000032014</c:v>
                </c:pt>
                <c:pt idx="31">
                  <c:v>-1.1624999999985448</c:v>
                </c:pt>
                <c:pt idx="35">
                  <c:v>-0.72625000000334694</c:v>
                </c:pt>
                <c:pt idx="37">
                  <c:v>-0.70499999999810825</c:v>
                </c:pt>
                <c:pt idx="38">
                  <c:v>-0.56750000000101863</c:v>
                </c:pt>
                <c:pt idx="39">
                  <c:v>-0.54500000000552973</c:v>
                </c:pt>
                <c:pt idx="40">
                  <c:v>-0.55874999999650754</c:v>
                </c:pt>
                <c:pt idx="41">
                  <c:v>-0.46000000000640284</c:v>
                </c:pt>
                <c:pt idx="43">
                  <c:v>-0.50500000000465661</c:v>
                </c:pt>
                <c:pt idx="44">
                  <c:v>-0.51125000000320142</c:v>
                </c:pt>
                <c:pt idx="68">
                  <c:v>1.1426250000004075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4A-4983-B54D-4B8BB29CE9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-589</c:v>
                </c:pt>
                <c:pt idx="1">
                  <c:v>-580</c:v>
                </c:pt>
                <c:pt idx="2">
                  <c:v>-578</c:v>
                </c:pt>
                <c:pt idx="3">
                  <c:v>-577</c:v>
                </c:pt>
                <c:pt idx="4">
                  <c:v>-576</c:v>
                </c:pt>
                <c:pt idx="5">
                  <c:v>-575</c:v>
                </c:pt>
                <c:pt idx="6">
                  <c:v>-575</c:v>
                </c:pt>
                <c:pt idx="7">
                  <c:v>-574</c:v>
                </c:pt>
                <c:pt idx="8">
                  <c:v>-574</c:v>
                </c:pt>
                <c:pt idx="9">
                  <c:v>-569</c:v>
                </c:pt>
                <c:pt idx="10">
                  <c:v>-568</c:v>
                </c:pt>
                <c:pt idx="11">
                  <c:v>-567</c:v>
                </c:pt>
                <c:pt idx="12">
                  <c:v>-566</c:v>
                </c:pt>
                <c:pt idx="13">
                  <c:v>-565</c:v>
                </c:pt>
                <c:pt idx="14">
                  <c:v>-559</c:v>
                </c:pt>
                <c:pt idx="15">
                  <c:v>-531</c:v>
                </c:pt>
                <c:pt idx="16">
                  <c:v>-525</c:v>
                </c:pt>
                <c:pt idx="17">
                  <c:v>-448</c:v>
                </c:pt>
                <c:pt idx="18">
                  <c:v>-435.5</c:v>
                </c:pt>
                <c:pt idx="19">
                  <c:v>-428</c:v>
                </c:pt>
                <c:pt idx="20">
                  <c:v>-421</c:v>
                </c:pt>
                <c:pt idx="21">
                  <c:v>-418</c:v>
                </c:pt>
                <c:pt idx="22">
                  <c:v>-417.5</c:v>
                </c:pt>
                <c:pt idx="23">
                  <c:v>-411</c:v>
                </c:pt>
                <c:pt idx="24">
                  <c:v>-397</c:v>
                </c:pt>
                <c:pt idx="25">
                  <c:v>-383</c:v>
                </c:pt>
                <c:pt idx="26">
                  <c:v>-376</c:v>
                </c:pt>
                <c:pt idx="27">
                  <c:v>-369</c:v>
                </c:pt>
                <c:pt idx="28">
                  <c:v>-367</c:v>
                </c:pt>
                <c:pt idx="29">
                  <c:v>-364</c:v>
                </c:pt>
                <c:pt idx="30">
                  <c:v>-361</c:v>
                </c:pt>
                <c:pt idx="31">
                  <c:v>-358</c:v>
                </c:pt>
                <c:pt idx="32">
                  <c:v>-358</c:v>
                </c:pt>
                <c:pt idx="33">
                  <c:v>-353</c:v>
                </c:pt>
                <c:pt idx="34">
                  <c:v>-230</c:v>
                </c:pt>
                <c:pt idx="35">
                  <c:v>-229</c:v>
                </c:pt>
                <c:pt idx="36">
                  <c:v>-228</c:v>
                </c:pt>
                <c:pt idx="37">
                  <c:v>-208</c:v>
                </c:pt>
                <c:pt idx="38">
                  <c:v>-178</c:v>
                </c:pt>
                <c:pt idx="39">
                  <c:v>-160</c:v>
                </c:pt>
                <c:pt idx="40">
                  <c:v>-159</c:v>
                </c:pt>
                <c:pt idx="41">
                  <c:v>-148</c:v>
                </c:pt>
                <c:pt idx="42">
                  <c:v>-138</c:v>
                </c:pt>
                <c:pt idx="43">
                  <c:v>-136</c:v>
                </c:pt>
                <c:pt idx="44">
                  <c:v>-129</c:v>
                </c:pt>
                <c:pt idx="45">
                  <c:v>-110</c:v>
                </c:pt>
                <c:pt idx="46">
                  <c:v>-106</c:v>
                </c:pt>
                <c:pt idx="47">
                  <c:v>-90</c:v>
                </c:pt>
                <c:pt idx="48">
                  <c:v>-89</c:v>
                </c:pt>
                <c:pt idx="49">
                  <c:v>-81</c:v>
                </c:pt>
                <c:pt idx="50">
                  <c:v>-77</c:v>
                </c:pt>
                <c:pt idx="51">
                  <c:v>-61</c:v>
                </c:pt>
                <c:pt idx="52">
                  <c:v>-49</c:v>
                </c:pt>
                <c:pt idx="53">
                  <c:v>-19</c:v>
                </c:pt>
                <c:pt idx="54">
                  <c:v>-3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11</c:v>
                </c:pt>
                <c:pt idx="59">
                  <c:v>12</c:v>
                </c:pt>
                <c:pt idx="60">
                  <c:v>90</c:v>
                </c:pt>
                <c:pt idx="61">
                  <c:v>98</c:v>
                </c:pt>
                <c:pt idx="62">
                  <c:v>98</c:v>
                </c:pt>
                <c:pt idx="63">
                  <c:v>102</c:v>
                </c:pt>
                <c:pt idx="64">
                  <c:v>134</c:v>
                </c:pt>
                <c:pt idx="65">
                  <c:v>253</c:v>
                </c:pt>
                <c:pt idx="66">
                  <c:v>330</c:v>
                </c:pt>
                <c:pt idx="67">
                  <c:v>330</c:v>
                </c:pt>
                <c:pt idx="68">
                  <c:v>338.5</c:v>
                </c:pt>
                <c:pt idx="69">
                  <c:v>420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4A-4983-B54D-4B8BB29CE9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-589</c:v>
                </c:pt>
                <c:pt idx="1">
                  <c:v>-580</c:v>
                </c:pt>
                <c:pt idx="2">
                  <c:v>-578</c:v>
                </c:pt>
                <c:pt idx="3">
                  <c:v>-577</c:v>
                </c:pt>
                <c:pt idx="4">
                  <c:v>-576</c:v>
                </c:pt>
                <c:pt idx="5">
                  <c:v>-575</c:v>
                </c:pt>
                <c:pt idx="6">
                  <c:v>-575</c:v>
                </c:pt>
                <c:pt idx="7">
                  <c:v>-574</c:v>
                </c:pt>
                <c:pt idx="8">
                  <c:v>-574</c:v>
                </c:pt>
                <c:pt idx="9">
                  <c:v>-569</c:v>
                </c:pt>
                <c:pt idx="10">
                  <c:v>-568</c:v>
                </c:pt>
                <c:pt idx="11">
                  <c:v>-567</c:v>
                </c:pt>
                <c:pt idx="12">
                  <c:v>-566</c:v>
                </c:pt>
                <c:pt idx="13">
                  <c:v>-565</c:v>
                </c:pt>
                <c:pt idx="14">
                  <c:v>-559</c:v>
                </c:pt>
                <c:pt idx="15">
                  <c:v>-531</c:v>
                </c:pt>
                <c:pt idx="16">
                  <c:v>-525</c:v>
                </c:pt>
                <c:pt idx="17">
                  <c:v>-448</c:v>
                </c:pt>
                <c:pt idx="18">
                  <c:v>-435.5</c:v>
                </c:pt>
                <c:pt idx="19">
                  <c:v>-428</c:v>
                </c:pt>
                <c:pt idx="20">
                  <c:v>-421</c:v>
                </c:pt>
                <c:pt idx="21">
                  <c:v>-418</c:v>
                </c:pt>
                <c:pt idx="22">
                  <c:v>-417.5</c:v>
                </c:pt>
                <c:pt idx="23">
                  <c:v>-411</c:v>
                </c:pt>
                <c:pt idx="24">
                  <c:v>-397</c:v>
                </c:pt>
                <c:pt idx="25">
                  <c:v>-383</c:v>
                </c:pt>
                <c:pt idx="26">
                  <c:v>-376</c:v>
                </c:pt>
                <c:pt idx="27">
                  <c:v>-369</c:v>
                </c:pt>
                <c:pt idx="28">
                  <c:v>-367</c:v>
                </c:pt>
                <c:pt idx="29">
                  <c:v>-364</c:v>
                </c:pt>
                <c:pt idx="30">
                  <c:v>-361</c:v>
                </c:pt>
                <c:pt idx="31">
                  <c:v>-358</c:v>
                </c:pt>
                <c:pt idx="32">
                  <c:v>-358</c:v>
                </c:pt>
                <c:pt idx="33">
                  <c:v>-353</c:v>
                </c:pt>
                <c:pt idx="34">
                  <c:v>-230</c:v>
                </c:pt>
                <c:pt idx="35">
                  <c:v>-229</c:v>
                </c:pt>
                <c:pt idx="36">
                  <c:v>-228</c:v>
                </c:pt>
                <c:pt idx="37">
                  <c:v>-208</c:v>
                </c:pt>
                <c:pt idx="38">
                  <c:v>-178</c:v>
                </c:pt>
                <c:pt idx="39">
                  <c:v>-160</c:v>
                </c:pt>
                <c:pt idx="40">
                  <c:v>-159</c:v>
                </c:pt>
                <c:pt idx="41">
                  <c:v>-148</c:v>
                </c:pt>
                <c:pt idx="42">
                  <c:v>-138</c:v>
                </c:pt>
                <c:pt idx="43">
                  <c:v>-136</c:v>
                </c:pt>
                <c:pt idx="44">
                  <c:v>-129</c:v>
                </c:pt>
                <c:pt idx="45">
                  <c:v>-110</c:v>
                </c:pt>
                <c:pt idx="46">
                  <c:v>-106</c:v>
                </c:pt>
                <c:pt idx="47">
                  <c:v>-90</c:v>
                </c:pt>
                <c:pt idx="48">
                  <c:v>-89</c:v>
                </c:pt>
                <c:pt idx="49">
                  <c:v>-81</c:v>
                </c:pt>
                <c:pt idx="50">
                  <c:v>-77</c:v>
                </c:pt>
                <c:pt idx="51">
                  <c:v>-61</c:v>
                </c:pt>
                <c:pt idx="52">
                  <c:v>-49</c:v>
                </c:pt>
                <c:pt idx="53">
                  <c:v>-19</c:v>
                </c:pt>
                <c:pt idx="54">
                  <c:v>-3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11</c:v>
                </c:pt>
                <c:pt idx="59">
                  <c:v>12</c:v>
                </c:pt>
                <c:pt idx="60">
                  <c:v>90</c:v>
                </c:pt>
                <c:pt idx="61">
                  <c:v>98</c:v>
                </c:pt>
                <c:pt idx="62">
                  <c:v>98</c:v>
                </c:pt>
                <c:pt idx="63">
                  <c:v>102</c:v>
                </c:pt>
                <c:pt idx="64">
                  <c:v>134</c:v>
                </c:pt>
                <c:pt idx="65">
                  <c:v>253</c:v>
                </c:pt>
                <c:pt idx="66">
                  <c:v>330</c:v>
                </c:pt>
                <c:pt idx="67">
                  <c:v>330</c:v>
                </c:pt>
                <c:pt idx="68">
                  <c:v>338.5</c:v>
                </c:pt>
                <c:pt idx="69">
                  <c:v>420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4A-4983-B54D-4B8BB29CE9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-589</c:v>
                </c:pt>
                <c:pt idx="1">
                  <c:v>-580</c:v>
                </c:pt>
                <c:pt idx="2">
                  <c:v>-578</c:v>
                </c:pt>
                <c:pt idx="3">
                  <c:v>-577</c:v>
                </c:pt>
                <c:pt idx="4">
                  <c:v>-576</c:v>
                </c:pt>
                <c:pt idx="5">
                  <c:v>-575</c:v>
                </c:pt>
                <c:pt idx="6">
                  <c:v>-575</c:v>
                </c:pt>
                <c:pt idx="7">
                  <c:v>-574</c:v>
                </c:pt>
                <c:pt idx="8">
                  <c:v>-574</c:v>
                </c:pt>
                <c:pt idx="9">
                  <c:v>-569</c:v>
                </c:pt>
                <c:pt idx="10">
                  <c:v>-568</c:v>
                </c:pt>
                <c:pt idx="11">
                  <c:v>-567</c:v>
                </c:pt>
                <c:pt idx="12">
                  <c:v>-566</c:v>
                </c:pt>
                <c:pt idx="13">
                  <c:v>-565</c:v>
                </c:pt>
                <c:pt idx="14">
                  <c:v>-559</c:v>
                </c:pt>
                <c:pt idx="15">
                  <c:v>-531</c:v>
                </c:pt>
                <c:pt idx="16">
                  <c:v>-525</c:v>
                </c:pt>
                <c:pt idx="17">
                  <c:v>-448</c:v>
                </c:pt>
                <c:pt idx="18">
                  <c:v>-435.5</c:v>
                </c:pt>
                <c:pt idx="19">
                  <c:v>-428</c:v>
                </c:pt>
                <c:pt idx="20">
                  <c:v>-421</c:v>
                </c:pt>
                <c:pt idx="21">
                  <c:v>-418</c:v>
                </c:pt>
                <c:pt idx="22">
                  <c:v>-417.5</c:v>
                </c:pt>
                <c:pt idx="23">
                  <c:v>-411</c:v>
                </c:pt>
                <c:pt idx="24">
                  <c:v>-397</c:v>
                </c:pt>
                <c:pt idx="25">
                  <c:v>-383</c:v>
                </c:pt>
                <c:pt idx="26">
                  <c:v>-376</c:v>
                </c:pt>
                <c:pt idx="27">
                  <c:v>-369</c:v>
                </c:pt>
                <c:pt idx="28">
                  <c:v>-367</c:v>
                </c:pt>
                <c:pt idx="29">
                  <c:v>-364</c:v>
                </c:pt>
                <c:pt idx="30">
                  <c:v>-361</c:v>
                </c:pt>
                <c:pt idx="31">
                  <c:v>-358</c:v>
                </c:pt>
                <c:pt idx="32">
                  <c:v>-358</c:v>
                </c:pt>
                <c:pt idx="33">
                  <c:v>-353</c:v>
                </c:pt>
                <c:pt idx="34">
                  <c:v>-230</c:v>
                </c:pt>
                <c:pt idx="35">
                  <c:v>-229</c:v>
                </c:pt>
                <c:pt idx="36">
                  <c:v>-228</c:v>
                </c:pt>
                <c:pt idx="37">
                  <c:v>-208</c:v>
                </c:pt>
                <c:pt idx="38">
                  <c:v>-178</c:v>
                </c:pt>
                <c:pt idx="39">
                  <c:v>-160</c:v>
                </c:pt>
                <c:pt idx="40">
                  <c:v>-159</c:v>
                </c:pt>
                <c:pt idx="41">
                  <c:v>-148</c:v>
                </c:pt>
                <c:pt idx="42">
                  <c:v>-138</c:v>
                </c:pt>
                <c:pt idx="43">
                  <c:v>-136</c:v>
                </c:pt>
                <c:pt idx="44">
                  <c:v>-129</c:v>
                </c:pt>
                <c:pt idx="45">
                  <c:v>-110</c:v>
                </c:pt>
                <c:pt idx="46">
                  <c:v>-106</c:v>
                </c:pt>
                <c:pt idx="47">
                  <c:v>-90</c:v>
                </c:pt>
                <c:pt idx="48">
                  <c:v>-89</c:v>
                </c:pt>
                <c:pt idx="49">
                  <c:v>-81</c:v>
                </c:pt>
                <c:pt idx="50">
                  <c:v>-77</c:v>
                </c:pt>
                <c:pt idx="51">
                  <c:v>-61</c:v>
                </c:pt>
                <c:pt idx="52">
                  <c:v>-49</c:v>
                </c:pt>
                <c:pt idx="53">
                  <c:v>-19</c:v>
                </c:pt>
                <c:pt idx="54">
                  <c:v>-3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11</c:v>
                </c:pt>
                <c:pt idx="59">
                  <c:v>12</c:v>
                </c:pt>
                <c:pt idx="60">
                  <c:v>90</c:v>
                </c:pt>
                <c:pt idx="61">
                  <c:v>98</c:v>
                </c:pt>
                <c:pt idx="62">
                  <c:v>98</c:v>
                </c:pt>
                <c:pt idx="63">
                  <c:v>102</c:v>
                </c:pt>
                <c:pt idx="64">
                  <c:v>134</c:v>
                </c:pt>
                <c:pt idx="65">
                  <c:v>253</c:v>
                </c:pt>
                <c:pt idx="66">
                  <c:v>330</c:v>
                </c:pt>
                <c:pt idx="67">
                  <c:v>330</c:v>
                </c:pt>
                <c:pt idx="68">
                  <c:v>338.5</c:v>
                </c:pt>
                <c:pt idx="69">
                  <c:v>420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4A-4983-B54D-4B8BB29CE9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0.25590000000000002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-589</c:v>
                </c:pt>
                <c:pt idx="1">
                  <c:v>-580</c:v>
                </c:pt>
                <c:pt idx="2">
                  <c:v>-578</c:v>
                </c:pt>
                <c:pt idx="3">
                  <c:v>-577</c:v>
                </c:pt>
                <c:pt idx="4">
                  <c:v>-576</c:v>
                </c:pt>
                <c:pt idx="5">
                  <c:v>-575</c:v>
                </c:pt>
                <c:pt idx="6">
                  <c:v>-575</c:v>
                </c:pt>
                <c:pt idx="7">
                  <c:v>-574</c:v>
                </c:pt>
                <c:pt idx="8">
                  <c:v>-574</c:v>
                </c:pt>
                <c:pt idx="9">
                  <c:v>-569</c:v>
                </c:pt>
                <c:pt idx="10">
                  <c:v>-568</c:v>
                </c:pt>
                <c:pt idx="11">
                  <c:v>-567</c:v>
                </c:pt>
                <c:pt idx="12">
                  <c:v>-566</c:v>
                </c:pt>
                <c:pt idx="13">
                  <c:v>-565</c:v>
                </c:pt>
                <c:pt idx="14">
                  <c:v>-559</c:v>
                </c:pt>
                <c:pt idx="15">
                  <c:v>-531</c:v>
                </c:pt>
                <c:pt idx="16">
                  <c:v>-525</c:v>
                </c:pt>
                <c:pt idx="17">
                  <c:v>-448</c:v>
                </c:pt>
                <c:pt idx="18">
                  <c:v>-435.5</c:v>
                </c:pt>
                <c:pt idx="19">
                  <c:v>-428</c:v>
                </c:pt>
                <c:pt idx="20">
                  <c:v>-421</c:v>
                </c:pt>
                <c:pt idx="21">
                  <c:v>-418</c:v>
                </c:pt>
                <c:pt idx="22">
                  <c:v>-417.5</c:v>
                </c:pt>
                <c:pt idx="23">
                  <c:v>-411</c:v>
                </c:pt>
                <c:pt idx="24">
                  <c:v>-397</c:v>
                </c:pt>
                <c:pt idx="25">
                  <c:v>-383</c:v>
                </c:pt>
                <c:pt idx="26">
                  <c:v>-376</c:v>
                </c:pt>
                <c:pt idx="27">
                  <c:v>-369</c:v>
                </c:pt>
                <c:pt idx="28">
                  <c:v>-367</c:v>
                </c:pt>
                <c:pt idx="29">
                  <c:v>-364</c:v>
                </c:pt>
                <c:pt idx="30">
                  <c:v>-361</c:v>
                </c:pt>
                <c:pt idx="31">
                  <c:v>-358</c:v>
                </c:pt>
                <c:pt idx="32">
                  <c:v>-358</c:v>
                </c:pt>
                <c:pt idx="33">
                  <c:v>-353</c:v>
                </c:pt>
                <c:pt idx="34">
                  <c:v>-230</c:v>
                </c:pt>
                <c:pt idx="35">
                  <c:v>-229</c:v>
                </c:pt>
                <c:pt idx="36">
                  <c:v>-228</c:v>
                </c:pt>
                <c:pt idx="37">
                  <c:v>-208</c:v>
                </c:pt>
                <c:pt idx="38">
                  <c:v>-178</c:v>
                </c:pt>
                <c:pt idx="39">
                  <c:v>-160</c:v>
                </c:pt>
                <c:pt idx="40">
                  <c:v>-159</c:v>
                </c:pt>
                <c:pt idx="41">
                  <c:v>-148</c:v>
                </c:pt>
                <c:pt idx="42">
                  <c:v>-138</c:v>
                </c:pt>
                <c:pt idx="43">
                  <c:v>-136</c:v>
                </c:pt>
                <c:pt idx="44">
                  <c:v>-129</c:v>
                </c:pt>
                <c:pt idx="45">
                  <c:v>-110</c:v>
                </c:pt>
                <c:pt idx="46">
                  <c:v>-106</c:v>
                </c:pt>
                <c:pt idx="47">
                  <c:v>-90</c:v>
                </c:pt>
                <c:pt idx="48">
                  <c:v>-89</c:v>
                </c:pt>
                <c:pt idx="49">
                  <c:v>-81</c:v>
                </c:pt>
                <c:pt idx="50">
                  <c:v>-77</c:v>
                </c:pt>
                <c:pt idx="51">
                  <c:v>-61</c:v>
                </c:pt>
                <c:pt idx="52">
                  <c:v>-49</c:v>
                </c:pt>
                <c:pt idx="53">
                  <c:v>-19</c:v>
                </c:pt>
                <c:pt idx="54">
                  <c:v>-3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11</c:v>
                </c:pt>
                <c:pt idx="59">
                  <c:v>12</c:v>
                </c:pt>
                <c:pt idx="60">
                  <c:v>90</c:v>
                </c:pt>
                <c:pt idx="61">
                  <c:v>98</c:v>
                </c:pt>
                <c:pt idx="62">
                  <c:v>98</c:v>
                </c:pt>
                <c:pt idx="63">
                  <c:v>102</c:v>
                </c:pt>
                <c:pt idx="64">
                  <c:v>134</c:v>
                </c:pt>
                <c:pt idx="65">
                  <c:v>253</c:v>
                </c:pt>
                <c:pt idx="66">
                  <c:v>330</c:v>
                </c:pt>
                <c:pt idx="67">
                  <c:v>330</c:v>
                </c:pt>
                <c:pt idx="68">
                  <c:v>338.5</c:v>
                </c:pt>
                <c:pt idx="69">
                  <c:v>420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4A-4983-B54D-4B8BB29CE9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-589</c:v>
                </c:pt>
                <c:pt idx="1">
                  <c:v>-580</c:v>
                </c:pt>
                <c:pt idx="2">
                  <c:v>-578</c:v>
                </c:pt>
                <c:pt idx="3">
                  <c:v>-577</c:v>
                </c:pt>
                <c:pt idx="4">
                  <c:v>-576</c:v>
                </c:pt>
                <c:pt idx="5">
                  <c:v>-575</c:v>
                </c:pt>
                <c:pt idx="6">
                  <c:v>-575</c:v>
                </c:pt>
                <c:pt idx="7">
                  <c:v>-574</c:v>
                </c:pt>
                <c:pt idx="8">
                  <c:v>-574</c:v>
                </c:pt>
                <c:pt idx="9">
                  <c:v>-569</c:v>
                </c:pt>
                <c:pt idx="10">
                  <c:v>-568</c:v>
                </c:pt>
                <c:pt idx="11">
                  <c:v>-567</c:v>
                </c:pt>
                <c:pt idx="12">
                  <c:v>-566</c:v>
                </c:pt>
                <c:pt idx="13">
                  <c:v>-565</c:v>
                </c:pt>
                <c:pt idx="14">
                  <c:v>-559</c:v>
                </c:pt>
                <c:pt idx="15">
                  <c:v>-531</c:v>
                </c:pt>
                <c:pt idx="16">
                  <c:v>-525</c:v>
                </c:pt>
                <c:pt idx="17">
                  <c:v>-448</c:v>
                </c:pt>
                <c:pt idx="18">
                  <c:v>-435.5</c:v>
                </c:pt>
                <c:pt idx="19">
                  <c:v>-428</c:v>
                </c:pt>
                <c:pt idx="20">
                  <c:v>-421</c:v>
                </c:pt>
                <c:pt idx="21">
                  <c:v>-418</c:v>
                </c:pt>
                <c:pt idx="22">
                  <c:v>-417.5</c:v>
                </c:pt>
                <c:pt idx="23">
                  <c:v>-411</c:v>
                </c:pt>
                <c:pt idx="24">
                  <c:v>-397</c:v>
                </c:pt>
                <c:pt idx="25">
                  <c:v>-383</c:v>
                </c:pt>
                <c:pt idx="26">
                  <c:v>-376</c:v>
                </c:pt>
                <c:pt idx="27">
                  <c:v>-369</c:v>
                </c:pt>
                <c:pt idx="28">
                  <c:v>-367</c:v>
                </c:pt>
                <c:pt idx="29">
                  <c:v>-364</c:v>
                </c:pt>
                <c:pt idx="30">
                  <c:v>-361</c:v>
                </c:pt>
                <c:pt idx="31">
                  <c:v>-358</c:v>
                </c:pt>
                <c:pt idx="32">
                  <c:v>-358</c:v>
                </c:pt>
                <c:pt idx="33">
                  <c:v>-353</c:v>
                </c:pt>
                <c:pt idx="34">
                  <c:v>-230</c:v>
                </c:pt>
                <c:pt idx="35">
                  <c:v>-229</c:v>
                </c:pt>
                <c:pt idx="36">
                  <c:v>-228</c:v>
                </c:pt>
                <c:pt idx="37">
                  <c:v>-208</c:v>
                </c:pt>
                <c:pt idx="38">
                  <c:v>-178</c:v>
                </c:pt>
                <c:pt idx="39">
                  <c:v>-160</c:v>
                </c:pt>
                <c:pt idx="40">
                  <c:v>-159</c:v>
                </c:pt>
                <c:pt idx="41">
                  <c:v>-148</c:v>
                </c:pt>
                <c:pt idx="42">
                  <c:v>-138</c:v>
                </c:pt>
                <c:pt idx="43">
                  <c:v>-136</c:v>
                </c:pt>
                <c:pt idx="44">
                  <c:v>-129</c:v>
                </c:pt>
                <c:pt idx="45">
                  <c:v>-110</c:v>
                </c:pt>
                <c:pt idx="46">
                  <c:v>-106</c:v>
                </c:pt>
                <c:pt idx="47">
                  <c:v>-90</c:v>
                </c:pt>
                <c:pt idx="48">
                  <c:v>-89</c:v>
                </c:pt>
                <c:pt idx="49">
                  <c:v>-81</c:v>
                </c:pt>
                <c:pt idx="50">
                  <c:v>-77</c:v>
                </c:pt>
                <c:pt idx="51">
                  <c:v>-61</c:v>
                </c:pt>
                <c:pt idx="52">
                  <c:v>-49</c:v>
                </c:pt>
                <c:pt idx="53">
                  <c:v>-19</c:v>
                </c:pt>
                <c:pt idx="54">
                  <c:v>-3</c:v>
                </c:pt>
                <c:pt idx="55">
                  <c:v>0</c:v>
                </c:pt>
                <c:pt idx="56">
                  <c:v>0</c:v>
                </c:pt>
                <c:pt idx="57">
                  <c:v>3</c:v>
                </c:pt>
                <c:pt idx="58">
                  <c:v>11</c:v>
                </c:pt>
                <c:pt idx="59">
                  <c:v>12</c:v>
                </c:pt>
                <c:pt idx="60">
                  <c:v>90</c:v>
                </c:pt>
                <c:pt idx="61">
                  <c:v>98</c:v>
                </c:pt>
                <c:pt idx="62">
                  <c:v>98</c:v>
                </c:pt>
                <c:pt idx="63">
                  <c:v>102</c:v>
                </c:pt>
                <c:pt idx="64">
                  <c:v>134</c:v>
                </c:pt>
                <c:pt idx="65">
                  <c:v>253</c:v>
                </c:pt>
                <c:pt idx="66">
                  <c:v>330</c:v>
                </c:pt>
                <c:pt idx="67">
                  <c:v>330</c:v>
                </c:pt>
                <c:pt idx="68">
                  <c:v>338.5</c:v>
                </c:pt>
                <c:pt idx="69">
                  <c:v>420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-2.0056664007125118</c:v>
                </c:pt>
                <c:pt idx="1">
                  <c:v>-1.9777477007738031</c:v>
                </c:pt>
                <c:pt idx="2">
                  <c:v>-1.9715435452318677</c:v>
                </c:pt>
                <c:pt idx="3">
                  <c:v>-1.9684414674609001</c:v>
                </c:pt>
                <c:pt idx="4">
                  <c:v>-1.9653393896899325</c:v>
                </c:pt>
                <c:pt idx="5">
                  <c:v>-1.9622373119189647</c:v>
                </c:pt>
                <c:pt idx="6">
                  <c:v>-1.9622373119189647</c:v>
                </c:pt>
                <c:pt idx="7">
                  <c:v>-1.9591352341479971</c:v>
                </c:pt>
                <c:pt idx="8">
                  <c:v>-1.9591352341479971</c:v>
                </c:pt>
                <c:pt idx="9">
                  <c:v>-1.9436248452931588</c:v>
                </c:pt>
                <c:pt idx="10">
                  <c:v>-1.9405227675221912</c:v>
                </c:pt>
                <c:pt idx="11">
                  <c:v>-1.9374206897512234</c:v>
                </c:pt>
                <c:pt idx="12">
                  <c:v>-1.9343186119802558</c:v>
                </c:pt>
                <c:pt idx="13">
                  <c:v>-1.9312165342092882</c:v>
                </c:pt>
                <c:pt idx="14">
                  <c:v>-1.9126040675834821</c:v>
                </c:pt>
                <c:pt idx="15">
                  <c:v>-1.8257458899963874</c:v>
                </c:pt>
                <c:pt idx="16">
                  <c:v>-1.8071334233705816</c:v>
                </c:pt>
                <c:pt idx="17">
                  <c:v>-1.5682734350060712</c:v>
                </c:pt>
                <c:pt idx="18">
                  <c:v>-1.5294974628689755</c:v>
                </c:pt>
                <c:pt idx="19">
                  <c:v>-1.506231879586718</c:v>
                </c:pt>
                <c:pt idx="20">
                  <c:v>-1.4845173351899443</c:v>
                </c:pt>
                <c:pt idx="21">
                  <c:v>-1.4752111018770413</c:v>
                </c:pt>
                <c:pt idx="22">
                  <c:v>-1.4736600629915575</c:v>
                </c:pt>
                <c:pt idx="23">
                  <c:v>-1.4534965574802676</c:v>
                </c:pt>
                <c:pt idx="24">
                  <c:v>-1.4100674686867203</c:v>
                </c:pt>
                <c:pt idx="25">
                  <c:v>-1.3666383798931729</c:v>
                </c:pt>
                <c:pt idx="26">
                  <c:v>-1.3449238354963993</c:v>
                </c:pt>
                <c:pt idx="27">
                  <c:v>-1.3232092910996256</c:v>
                </c:pt>
                <c:pt idx="28">
                  <c:v>-1.3170051355576904</c:v>
                </c:pt>
                <c:pt idx="29">
                  <c:v>-1.3076989022447874</c:v>
                </c:pt>
                <c:pt idx="30">
                  <c:v>-1.2983926689318843</c:v>
                </c:pt>
                <c:pt idx="31">
                  <c:v>-1.2890864356189813</c:v>
                </c:pt>
                <c:pt idx="32">
                  <c:v>-1.2890864356189813</c:v>
                </c:pt>
                <c:pt idx="33">
                  <c:v>-1.273576046764143</c:v>
                </c:pt>
                <c:pt idx="34">
                  <c:v>-0.89202048093512021</c:v>
                </c:pt>
                <c:pt idx="35">
                  <c:v>-0.88891840316415249</c:v>
                </c:pt>
                <c:pt idx="36">
                  <c:v>-0.88581632539318478</c:v>
                </c:pt>
                <c:pt idx="37">
                  <c:v>-0.82377476997383148</c:v>
                </c:pt>
                <c:pt idx="38">
                  <c:v>-0.73071243684480158</c:v>
                </c:pt>
                <c:pt idx="39">
                  <c:v>-0.6748750369673836</c:v>
                </c:pt>
                <c:pt idx="40">
                  <c:v>-0.67177295919641589</c:v>
                </c:pt>
                <c:pt idx="41">
                  <c:v>-0.63765010371577158</c:v>
                </c:pt>
                <c:pt idx="42">
                  <c:v>-0.60662932600609487</c:v>
                </c:pt>
                <c:pt idx="43">
                  <c:v>-0.60042517046415966</c:v>
                </c:pt>
                <c:pt idx="44">
                  <c:v>-0.57871062606738599</c:v>
                </c:pt>
                <c:pt idx="45">
                  <c:v>-0.5197711484190003</c:v>
                </c:pt>
                <c:pt idx="46">
                  <c:v>-0.50736283733512966</c:v>
                </c:pt>
                <c:pt idx="47">
                  <c:v>-0.45772959299964699</c:v>
                </c:pt>
                <c:pt idx="48">
                  <c:v>-0.45462751522867934</c:v>
                </c:pt>
                <c:pt idx="49">
                  <c:v>-0.429810893060938</c:v>
                </c:pt>
                <c:pt idx="50">
                  <c:v>-0.41740258197706737</c:v>
                </c:pt>
                <c:pt idx="51">
                  <c:v>-0.3677693376415847</c:v>
                </c:pt>
                <c:pt idx="52">
                  <c:v>-0.33054440438997268</c:v>
                </c:pt>
                <c:pt idx="53">
                  <c:v>-0.23748207126094273</c:v>
                </c:pt>
                <c:pt idx="54">
                  <c:v>-0.18784882692546009</c:v>
                </c:pt>
                <c:pt idx="55">
                  <c:v>-0.17854259361255709</c:v>
                </c:pt>
                <c:pt idx="56">
                  <c:v>-0.17854259361255709</c:v>
                </c:pt>
                <c:pt idx="57">
                  <c:v>-0.16923636029965408</c:v>
                </c:pt>
                <c:pt idx="58">
                  <c:v>-0.14441973813191278</c:v>
                </c:pt>
                <c:pt idx="59">
                  <c:v>-0.14131766036094512</c:v>
                </c:pt>
                <c:pt idx="60">
                  <c:v>0.10064440577453282</c:v>
                </c:pt>
                <c:pt idx="61">
                  <c:v>0.12546102794227415</c:v>
                </c:pt>
                <c:pt idx="62">
                  <c:v>0.12546102794227415</c:v>
                </c:pt>
                <c:pt idx="63">
                  <c:v>0.13786933902614479</c:v>
                </c:pt>
                <c:pt idx="64">
                  <c:v>0.23713582769711011</c:v>
                </c:pt>
                <c:pt idx="65">
                  <c:v>0.60628308244226226</c:v>
                </c:pt>
                <c:pt idx="66">
                  <c:v>0.84514307080677264</c:v>
                </c:pt>
                <c:pt idx="67">
                  <c:v>0.84514307080677264</c:v>
                </c:pt>
                <c:pt idx="68">
                  <c:v>0.87151073185999772</c:v>
                </c:pt>
                <c:pt idx="69">
                  <c:v>1.1243300701938623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4A-4983-B54D-4B8BB29CE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996448"/>
        <c:axId val="1"/>
      </c:scatterChart>
      <c:valAx>
        <c:axId val="611996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996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09939046875338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57150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C41853-CC67-C286-5D9C-339128590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430" TargetMode="External"/><Relationship Id="rId13" Type="http://schemas.openxmlformats.org/officeDocument/2006/relationships/hyperlink" Target="http://www.konkoly.hu/cgi-bin/IBVS?1430" TargetMode="External"/><Relationship Id="rId18" Type="http://schemas.openxmlformats.org/officeDocument/2006/relationships/hyperlink" Target="http://www.bav-astro.de/sfs/BAVM_link.php?BAVMnr=122" TargetMode="External"/><Relationship Id="rId3" Type="http://schemas.openxmlformats.org/officeDocument/2006/relationships/hyperlink" Target="http://www.konkoly.hu/cgi-bin/IBVS?1430" TargetMode="External"/><Relationship Id="rId7" Type="http://schemas.openxmlformats.org/officeDocument/2006/relationships/hyperlink" Target="http://www.konkoly.hu/cgi-bin/IBVS?1430" TargetMode="External"/><Relationship Id="rId12" Type="http://schemas.openxmlformats.org/officeDocument/2006/relationships/hyperlink" Target="http://www.konkoly.hu/cgi-bin/IBVS?1430" TargetMode="External"/><Relationship Id="rId17" Type="http://schemas.openxmlformats.org/officeDocument/2006/relationships/hyperlink" Target="http://www.bav-astro.de/sfs/BAVM_link.php?BAVMnr=122" TargetMode="External"/><Relationship Id="rId2" Type="http://schemas.openxmlformats.org/officeDocument/2006/relationships/hyperlink" Target="http://www.konkoly.hu/cgi-bin/IBVS?1430" TargetMode="External"/><Relationship Id="rId16" Type="http://schemas.openxmlformats.org/officeDocument/2006/relationships/hyperlink" Target="http://www.bav-astro.de/sfs/BAVM_link.php?BAVMnr=13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konkoly.hu/cgi-bin/IBVS?1430" TargetMode="External"/><Relationship Id="rId6" Type="http://schemas.openxmlformats.org/officeDocument/2006/relationships/hyperlink" Target="http://www.konkoly.hu/cgi-bin/IBVS?1430" TargetMode="External"/><Relationship Id="rId11" Type="http://schemas.openxmlformats.org/officeDocument/2006/relationships/hyperlink" Target="http://www.konkoly.hu/cgi-bin/IBVS?1430" TargetMode="External"/><Relationship Id="rId5" Type="http://schemas.openxmlformats.org/officeDocument/2006/relationships/hyperlink" Target="http://www.konkoly.hu/cgi-bin/IBVS?1430" TargetMode="External"/><Relationship Id="rId15" Type="http://schemas.openxmlformats.org/officeDocument/2006/relationships/hyperlink" Target="http://www.konkoly.hu/cgi-bin/IBVS?1623" TargetMode="External"/><Relationship Id="rId10" Type="http://schemas.openxmlformats.org/officeDocument/2006/relationships/hyperlink" Target="http://www.konkoly.hu/cgi-bin/IBVS?1430" TargetMode="External"/><Relationship Id="rId19" Type="http://schemas.openxmlformats.org/officeDocument/2006/relationships/hyperlink" Target="http://www.bav-astro.de/sfs/BAVM_link.php?BAVMnr=132" TargetMode="External"/><Relationship Id="rId4" Type="http://schemas.openxmlformats.org/officeDocument/2006/relationships/hyperlink" Target="http://www.konkoly.hu/cgi-bin/IBVS?1430" TargetMode="External"/><Relationship Id="rId9" Type="http://schemas.openxmlformats.org/officeDocument/2006/relationships/hyperlink" Target="http://www.konkoly.hu/cgi-bin/IBVS?1430" TargetMode="External"/><Relationship Id="rId14" Type="http://schemas.openxmlformats.org/officeDocument/2006/relationships/hyperlink" Target="http://www.konkoly.hu/cgi-bin/IBVS?1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28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25</v>
      </c>
      <c r="B2" s="11" t="s">
        <v>33</v>
      </c>
    </row>
    <row r="4" spans="1:6" ht="14.25" thickTop="1" thickBot="1" x14ac:dyDescent="0.25">
      <c r="A4" s="7" t="s">
        <v>1</v>
      </c>
      <c r="C4" s="3">
        <v>39009.525000000001</v>
      </c>
      <c r="D4" s="4">
        <v>36.563749999999999</v>
      </c>
    </row>
    <row r="5" spans="1:6" ht="13.5" thickTop="1" x14ac:dyDescent="0.2">
      <c r="A5" s="12" t="s">
        <v>34</v>
      </c>
      <c r="B5" s="13"/>
      <c r="C5" s="14">
        <v>-9.5</v>
      </c>
      <c r="D5" s="13" t="s">
        <v>35</v>
      </c>
    </row>
    <row r="6" spans="1:6" x14ac:dyDescent="0.2">
      <c r="A6" s="7" t="s">
        <v>2</v>
      </c>
    </row>
    <row r="7" spans="1:6" x14ac:dyDescent="0.2">
      <c r="A7" t="s">
        <v>3</v>
      </c>
      <c r="C7">
        <f>+C4</f>
        <v>39009.525000000001</v>
      </c>
    </row>
    <row r="8" spans="1:6" x14ac:dyDescent="0.2">
      <c r="A8" t="s">
        <v>4</v>
      </c>
      <c r="C8">
        <f>+D4</f>
        <v>36.563749999999999</v>
      </c>
    </row>
    <row r="9" spans="1:6" x14ac:dyDescent="0.2">
      <c r="A9" s="27" t="s">
        <v>39</v>
      </c>
      <c r="B9" s="28">
        <v>21</v>
      </c>
      <c r="C9" s="16" t="str">
        <f>"F"&amp;B9</f>
        <v>F21</v>
      </c>
      <c r="D9" s="17" t="str">
        <f>"G"&amp;B9</f>
        <v>G21</v>
      </c>
    </row>
    <row r="10" spans="1:6" ht="13.5" thickBot="1" x14ac:dyDescent="0.25">
      <c r="A10" s="13"/>
      <c r="B10" s="13"/>
      <c r="C10" s="6" t="s">
        <v>21</v>
      </c>
      <c r="D10" s="6" t="s">
        <v>22</v>
      </c>
      <c r="E10" s="13"/>
    </row>
    <row r="11" spans="1:6" x14ac:dyDescent="0.2">
      <c r="A11" s="13" t="s">
        <v>17</v>
      </c>
      <c r="B11" s="13"/>
      <c r="C11" s="15">
        <f ca="1">INTERCEPT(INDIRECT($D$9):G992,INDIRECT($C$9):F992)</f>
        <v>-0.17854259361255709</v>
      </c>
      <c r="D11" s="5"/>
      <c r="E11" s="13"/>
    </row>
    <row r="12" spans="1:6" x14ac:dyDescent="0.2">
      <c r="A12" s="13" t="s">
        <v>18</v>
      </c>
      <c r="B12" s="13"/>
      <c r="C12" s="15">
        <f ca="1">SLOPE(INDIRECT($D$9):G992,INDIRECT($C$9):F992)</f>
        <v>3.1020777709676655E-3</v>
      </c>
      <c r="D12" s="5"/>
      <c r="E12" s="13"/>
    </row>
    <row r="13" spans="1:6" x14ac:dyDescent="0.2">
      <c r="A13" s="13" t="s">
        <v>20</v>
      </c>
      <c r="B13" s="13"/>
      <c r="C13" s="5" t="s">
        <v>15</v>
      </c>
    </row>
    <row r="14" spans="1:6" x14ac:dyDescent="0.2">
      <c r="A14" s="13"/>
      <c r="B14" s="13"/>
      <c r="C14" s="13"/>
    </row>
    <row r="15" spans="1:6" x14ac:dyDescent="0.2">
      <c r="A15" s="18" t="s">
        <v>19</v>
      </c>
      <c r="B15" s="13"/>
      <c r="C15" s="19">
        <f ca="1">(C7+C11)+(C8+C12)*INT(MAX(F21:F3533))</f>
        <v>54367.424330070193</v>
      </c>
      <c r="E15" s="20" t="s">
        <v>42</v>
      </c>
      <c r="F15" s="14">
        <v>1</v>
      </c>
    </row>
    <row r="16" spans="1:6" x14ac:dyDescent="0.2">
      <c r="A16" s="22" t="s">
        <v>5</v>
      </c>
      <c r="B16" s="13"/>
      <c r="C16" s="23">
        <f ca="1">+C8+C12</f>
        <v>36.566852077770967</v>
      </c>
      <c r="E16" s="20" t="s">
        <v>36</v>
      </c>
      <c r="F16" s="21">
        <f ca="1">NOW()+15018.5+$C$5/24</f>
        <v>60328.778161921291</v>
      </c>
    </row>
    <row r="17" spans="1:17" ht="13.5" thickBot="1" x14ac:dyDescent="0.25">
      <c r="A17" s="20" t="s">
        <v>31</v>
      </c>
      <c r="B17" s="13"/>
      <c r="C17" s="13">
        <f>COUNT(C21:C2191)</f>
        <v>70</v>
      </c>
      <c r="E17" s="20" t="s">
        <v>43</v>
      </c>
      <c r="F17" s="21">
        <f ca="1">ROUND(2*(F16-$C$7)/$C$8,0)/2+F15</f>
        <v>584</v>
      </c>
    </row>
    <row r="18" spans="1:17" ht="14.25" thickTop="1" thickBot="1" x14ac:dyDescent="0.25">
      <c r="A18" s="22" t="s">
        <v>6</v>
      </c>
      <c r="B18" s="13"/>
      <c r="C18" s="25">
        <f ca="1">+C15</f>
        <v>54367.424330070193</v>
      </c>
      <c r="D18" s="26">
        <f ca="1">+C16</f>
        <v>36.566852077770967</v>
      </c>
      <c r="E18" s="20" t="s">
        <v>37</v>
      </c>
      <c r="F18" s="17">
        <f ca="1">ROUND(2*(F16-$C$15)/$C$16,0)/2+F15</f>
        <v>164</v>
      </c>
    </row>
    <row r="19" spans="1:17" ht="13.5" thickTop="1" x14ac:dyDescent="0.2">
      <c r="E19" s="20" t="s">
        <v>38</v>
      </c>
      <c r="F19" s="24">
        <f ca="1">+$C$15+$C$16*F18-15018.5-$C$5/24</f>
        <v>45346.283904157965</v>
      </c>
    </row>
    <row r="20" spans="1:17" ht="13.5" thickBot="1" x14ac:dyDescent="0.25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41</v>
      </c>
      <c r="I20" s="9" t="s">
        <v>53</v>
      </c>
      <c r="J20" s="9" t="s">
        <v>48</v>
      </c>
      <c r="K20" s="9" t="s">
        <v>46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</row>
    <row r="21" spans="1:17" x14ac:dyDescent="0.2">
      <c r="A21" s="45" t="s">
        <v>60</v>
      </c>
      <c r="B21" s="44" t="s">
        <v>30</v>
      </c>
      <c r="C21" s="45">
        <v>17471.099999999999</v>
      </c>
      <c r="D21" s="45" t="s">
        <v>53</v>
      </c>
      <c r="E21">
        <f t="shared" ref="E21:E52" si="0">+(C21-C$7)/C$8</f>
        <v>-589.06498923113747</v>
      </c>
      <c r="F21">
        <f t="shared" ref="F21:F52" si="1">ROUND(2*E21,0)/2</f>
        <v>-589</v>
      </c>
      <c r="G21">
        <f t="shared" ref="G21:G52" si="2">+C21-(C$7+F21*C$8)</f>
        <v>-2.3762500000048021</v>
      </c>
      <c r="I21">
        <f t="shared" ref="I21:I37" si="3">+G21</f>
        <v>-2.3762500000048021</v>
      </c>
      <c r="O21">
        <f t="shared" ref="O21:O52" ca="1" si="4">+C$11+C$12*$F21</f>
        <v>-2.0056664007125118</v>
      </c>
      <c r="Q21" s="2">
        <f t="shared" ref="Q21:Q52" si="5">+C21-15018.5</f>
        <v>2452.5999999999985</v>
      </c>
    </row>
    <row r="22" spans="1:17" x14ac:dyDescent="0.2">
      <c r="A22" s="45" t="s">
        <v>60</v>
      </c>
      <c r="B22" s="44" t="s">
        <v>30</v>
      </c>
      <c r="C22" s="45">
        <v>17800.3</v>
      </c>
      <c r="D22" s="45" t="s">
        <v>53</v>
      </c>
      <c r="E22">
        <f t="shared" si="0"/>
        <v>-580.06153635773148</v>
      </c>
      <c r="F22">
        <f t="shared" si="1"/>
        <v>-580</v>
      </c>
      <c r="G22">
        <f t="shared" si="2"/>
        <v>-2.250000000003638</v>
      </c>
      <c r="I22">
        <f t="shared" si="3"/>
        <v>-2.250000000003638</v>
      </c>
      <c r="O22">
        <f t="shared" ca="1" si="4"/>
        <v>-1.9777477007738031</v>
      </c>
      <c r="Q22" s="2">
        <f t="shared" si="5"/>
        <v>2781.7999999999993</v>
      </c>
    </row>
    <row r="23" spans="1:17" x14ac:dyDescent="0.2">
      <c r="A23" s="45" t="s">
        <v>69</v>
      </c>
      <c r="B23" s="44" t="s">
        <v>30</v>
      </c>
      <c r="C23" s="45">
        <v>17873.7</v>
      </c>
      <c r="D23" s="45" t="s">
        <v>53</v>
      </c>
      <c r="E23">
        <f t="shared" si="0"/>
        <v>-578.05408362107278</v>
      </c>
      <c r="F23">
        <f t="shared" si="1"/>
        <v>-578</v>
      </c>
      <c r="G23">
        <f t="shared" si="2"/>
        <v>-1.9775000000008731</v>
      </c>
      <c r="I23">
        <f t="shared" si="3"/>
        <v>-1.9775000000008731</v>
      </c>
      <c r="O23">
        <f t="shared" ca="1" si="4"/>
        <v>-1.9715435452318677</v>
      </c>
      <c r="Q23" s="2">
        <f t="shared" si="5"/>
        <v>2855.2000000000007</v>
      </c>
    </row>
    <row r="24" spans="1:17" x14ac:dyDescent="0.2">
      <c r="A24" s="45" t="s">
        <v>74</v>
      </c>
      <c r="B24" s="44" t="s">
        <v>30</v>
      </c>
      <c r="C24" s="45">
        <v>17910.099999999999</v>
      </c>
      <c r="D24" s="45" t="s">
        <v>53</v>
      </c>
      <c r="E24">
        <f t="shared" si="0"/>
        <v>-577.05856210044112</v>
      </c>
      <c r="F24">
        <f t="shared" si="1"/>
        <v>-577</v>
      </c>
      <c r="G24">
        <f t="shared" si="2"/>
        <v>-2.1412500000042201</v>
      </c>
      <c r="I24">
        <f t="shared" si="3"/>
        <v>-2.1412500000042201</v>
      </c>
      <c r="O24">
        <f t="shared" ca="1" si="4"/>
        <v>-1.9684414674609001</v>
      </c>
      <c r="Q24" s="2">
        <f t="shared" si="5"/>
        <v>2891.5999999999985</v>
      </c>
    </row>
    <row r="25" spans="1:17" x14ac:dyDescent="0.2">
      <c r="A25" s="45" t="s">
        <v>74</v>
      </c>
      <c r="B25" s="44" t="s">
        <v>30</v>
      </c>
      <c r="C25" s="45">
        <v>17946.900000000001</v>
      </c>
      <c r="D25" s="45" t="s">
        <v>53</v>
      </c>
      <c r="E25">
        <f t="shared" si="0"/>
        <v>-576.05210078287928</v>
      </c>
      <c r="F25">
        <f t="shared" si="1"/>
        <v>-576</v>
      </c>
      <c r="G25">
        <f t="shared" si="2"/>
        <v>-1.9049999999988358</v>
      </c>
      <c r="I25">
        <f t="shared" si="3"/>
        <v>-1.9049999999988358</v>
      </c>
      <c r="O25">
        <f t="shared" ca="1" si="4"/>
        <v>-1.9653393896899325</v>
      </c>
      <c r="Q25" s="2">
        <f t="shared" si="5"/>
        <v>2928.4000000000015</v>
      </c>
    </row>
    <row r="26" spans="1:17" x14ac:dyDescent="0.2">
      <c r="A26" s="45" t="s">
        <v>81</v>
      </c>
      <c r="B26" s="44" t="s">
        <v>30</v>
      </c>
      <c r="C26" s="45">
        <v>17983.400000000001</v>
      </c>
      <c r="D26" s="45" t="s">
        <v>53</v>
      </c>
      <c r="E26">
        <f t="shared" si="0"/>
        <v>-575.05384431301491</v>
      </c>
      <c r="F26">
        <f t="shared" si="1"/>
        <v>-575</v>
      </c>
      <c r="G26">
        <f t="shared" si="2"/>
        <v>-1.96875</v>
      </c>
      <c r="I26">
        <f t="shared" si="3"/>
        <v>-1.96875</v>
      </c>
      <c r="O26">
        <f t="shared" ca="1" si="4"/>
        <v>-1.9622373119189647</v>
      </c>
      <c r="Q26" s="2">
        <f t="shared" si="5"/>
        <v>2964.9000000000015</v>
      </c>
    </row>
    <row r="27" spans="1:17" x14ac:dyDescent="0.2">
      <c r="A27" s="45" t="s">
        <v>74</v>
      </c>
      <c r="B27" s="44" t="s">
        <v>30</v>
      </c>
      <c r="C27" s="45">
        <v>17983.599999999999</v>
      </c>
      <c r="D27" s="45" t="s">
        <v>53</v>
      </c>
      <c r="E27">
        <f t="shared" si="0"/>
        <v>-575.04837441455004</v>
      </c>
      <c r="F27">
        <f t="shared" si="1"/>
        <v>-575</v>
      </c>
      <c r="G27">
        <f t="shared" si="2"/>
        <v>-1.7687500000029104</v>
      </c>
      <c r="I27">
        <f t="shared" si="3"/>
        <v>-1.7687500000029104</v>
      </c>
      <c r="O27">
        <f t="shared" ca="1" si="4"/>
        <v>-1.9622373119189647</v>
      </c>
      <c r="Q27" s="2">
        <f t="shared" si="5"/>
        <v>2965.0999999999985</v>
      </c>
    </row>
    <row r="28" spans="1:17" x14ac:dyDescent="0.2">
      <c r="A28" s="45" t="s">
        <v>69</v>
      </c>
      <c r="B28" s="44" t="s">
        <v>30</v>
      </c>
      <c r="C28" s="45">
        <v>18019.900000000001</v>
      </c>
      <c r="D28" s="45" t="s">
        <v>53</v>
      </c>
      <c r="E28">
        <f t="shared" si="0"/>
        <v>-574.05558784315065</v>
      </c>
      <c r="F28">
        <f t="shared" si="1"/>
        <v>-574</v>
      </c>
      <c r="G28">
        <f t="shared" si="2"/>
        <v>-2.0325000000011642</v>
      </c>
      <c r="I28">
        <f t="shared" si="3"/>
        <v>-2.0325000000011642</v>
      </c>
      <c r="O28">
        <f t="shared" ca="1" si="4"/>
        <v>-1.9591352341479971</v>
      </c>
      <c r="Q28" s="2">
        <f t="shared" si="5"/>
        <v>3001.4000000000015</v>
      </c>
    </row>
    <row r="29" spans="1:17" x14ac:dyDescent="0.2">
      <c r="A29" s="45" t="s">
        <v>74</v>
      </c>
      <c r="B29" s="44" t="s">
        <v>30</v>
      </c>
      <c r="C29" s="45">
        <v>18020</v>
      </c>
      <c r="D29" s="45" t="s">
        <v>53</v>
      </c>
      <c r="E29">
        <f t="shared" si="0"/>
        <v>-574.05285289391827</v>
      </c>
      <c r="F29">
        <f t="shared" si="1"/>
        <v>-574</v>
      </c>
      <c r="G29">
        <f t="shared" si="2"/>
        <v>-1.9325000000026193</v>
      </c>
      <c r="I29">
        <f t="shared" si="3"/>
        <v>-1.9325000000026193</v>
      </c>
      <c r="O29">
        <f t="shared" ca="1" si="4"/>
        <v>-1.9591352341479971</v>
      </c>
      <c r="Q29" s="2">
        <f t="shared" si="5"/>
        <v>3001.5</v>
      </c>
    </row>
    <row r="30" spans="1:17" x14ac:dyDescent="0.2">
      <c r="A30" s="45" t="s">
        <v>74</v>
      </c>
      <c r="B30" s="44" t="s">
        <v>30</v>
      </c>
      <c r="C30" s="45">
        <v>18202.5</v>
      </c>
      <c r="D30" s="45" t="s">
        <v>53</v>
      </c>
      <c r="E30">
        <f t="shared" si="0"/>
        <v>-569.06157054459686</v>
      </c>
      <c r="F30">
        <f t="shared" si="1"/>
        <v>-569</v>
      </c>
      <c r="G30">
        <f t="shared" si="2"/>
        <v>-2.2512500000011642</v>
      </c>
      <c r="I30">
        <f t="shared" si="3"/>
        <v>-2.2512500000011642</v>
      </c>
      <c r="O30">
        <f t="shared" ca="1" si="4"/>
        <v>-1.9436248452931588</v>
      </c>
      <c r="Q30" s="2">
        <f t="shared" si="5"/>
        <v>3184</v>
      </c>
    </row>
    <row r="31" spans="1:17" x14ac:dyDescent="0.2">
      <c r="A31" s="45" t="s">
        <v>74</v>
      </c>
      <c r="B31" s="44" t="s">
        <v>30</v>
      </c>
      <c r="C31" s="45">
        <v>18239.3</v>
      </c>
      <c r="D31" s="45" t="s">
        <v>53</v>
      </c>
      <c r="E31">
        <f t="shared" si="0"/>
        <v>-568.05510922703502</v>
      </c>
      <c r="F31">
        <f t="shared" si="1"/>
        <v>-568</v>
      </c>
      <c r="G31">
        <f t="shared" si="2"/>
        <v>-2.0150000000030559</v>
      </c>
      <c r="I31">
        <f t="shared" si="3"/>
        <v>-2.0150000000030559</v>
      </c>
      <c r="O31">
        <f t="shared" ca="1" si="4"/>
        <v>-1.9405227675221912</v>
      </c>
      <c r="Q31" s="2">
        <f t="shared" si="5"/>
        <v>3220.7999999999993</v>
      </c>
    </row>
    <row r="32" spans="1:17" x14ac:dyDescent="0.2">
      <c r="A32" s="45" t="s">
        <v>74</v>
      </c>
      <c r="B32" s="44" t="s">
        <v>30</v>
      </c>
      <c r="C32" s="45">
        <v>18275.900000000001</v>
      </c>
      <c r="D32" s="45" t="s">
        <v>53</v>
      </c>
      <c r="E32">
        <f t="shared" si="0"/>
        <v>-567.05411780793816</v>
      </c>
      <c r="F32">
        <f t="shared" si="1"/>
        <v>-567</v>
      </c>
      <c r="G32">
        <f t="shared" si="2"/>
        <v>-1.9787500000020373</v>
      </c>
      <c r="I32">
        <f t="shared" si="3"/>
        <v>-1.9787500000020373</v>
      </c>
      <c r="O32">
        <f t="shared" ca="1" si="4"/>
        <v>-1.9374206897512234</v>
      </c>
      <c r="Q32" s="2">
        <f t="shared" si="5"/>
        <v>3257.4000000000015</v>
      </c>
    </row>
    <row r="33" spans="1:17" x14ac:dyDescent="0.2">
      <c r="A33" s="45" t="s">
        <v>74</v>
      </c>
      <c r="B33" s="44" t="s">
        <v>30</v>
      </c>
      <c r="C33" s="45">
        <v>18312.599999999999</v>
      </c>
      <c r="D33" s="45" t="s">
        <v>53</v>
      </c>
      <c r="E33">
        <f t="shared" si="0"/>
        <v>-566.05039143960903</v>
      </c>
      <c r="F33">
        <f t="shared" si="1"/>
        <v>-566</v>
      </c>
      <c r="G33">
        <f t="shared" si="2"/>
        <v>-1.8425000000024738</v>
      </c>
      <c r="I33">
        <f t="shared" si="3"/>
        <v>-1.8425000000024738</v>
      </c>
      <c r="O33">
        <f t="shared" ca="1" si="4"/>
        <v>-1.9343186119802558</v>
      </c>
      <c r="Q33" s="2">
        <f t="shared" si="5"/>
        <v>3294.0999999999985</v>
      </c>
    </row>
    <row r="34" spans="1:17" x14ac:dyDescent="0.2">
      <c r="A34" s="45" t="s">
        <v>74</v>
      </c>
      <c r="B34" s="44" t="s">
        <v>30</v>
      </c>
      <c r="C34" s="45">
        <v>18348.900000000001</v>
      </c>
      <c r="D34" s="45" t="s">
        <v>53</v>
      </c>
      <c r="E34">
        <f t="shared" si="0"/>
        <v>-565.05760486820964</v>
      </c>
      <c r="F34">
        <f t="shared" si="1"/>
        <v>-565</v>
      </c>
      <c r="G34">
        <f t="shared" si="2"/>
        <v>-2.1062500000007276</v>
      </c>
      <c r="I34">
        <f t="shared" si="3"/>
        <v>-2.1062500000007276</v>
      </c>
      <c r="O34">
        <f t="shared" ca="1" si="4"/>
        <v>-1.9312165342092882</v>
      </c>
      <c r="Q34" s="2">
        <f t="shared" si="5"/>
        <v>3330.4000000000015</v>
      </c>
    </row>
    <row r="35" spans="1:17" x14ac:dyDescent="0.2">
      <c r="A35" s="45" t="s">
        <v>74</v>
      </c>
      <c r="B35" s="44" t="s">
        <v>30</v>
      </c>
      <c r="C35" s="45">
        <v>18568.3</v>
      </c>
      <c r="D35" s="45" t="s">
        <v>53</v>
      </c>
      <c r="E35">
        <f t="shared" si="0"/>
        <v>-559.05712625209401</v>
      </c>
      <c r="F35">
        <f t="shared" si="1"/>
        <v>-559</v>
      </c>
      <c r="G35">
        <f t="shared" si="2"/>
        <v>-2.0887500000026193</v>
      </c>
      <c r="I35">
        <f t="shared" si="3"/>
        <v>-2.0887500000026193</v>
      </c>
      <c r="O35">
        <f t="shared" ca="1" si="4"/>
        <v>-1.9126040675834821</v>
      </c>
      <c r="Q35" s="2">
        <f t="shared" si="5"/>
        <v>3549.7999999999993</v>
      </c>
    </row>
    <row r="36" spans="1:17" x14ac:dyDescent="0.2">
      <c r="A36" s="45" t="s">
        <v>74</v>
      </c>
      <c r="B36" s="44" t="s">
        <v>30</v>
      </c>
      <c r="C36" s="45">
        <v>19592.099999999999</v>
      </c>
      <c r="D36" s="45" t="s">
        <v>53</v>
      </c>
      <c r="E36">
        <f t="shared" si="0"/>
        <v>-531.05671600970913</v>
      </c>
      <c r="F36">
        <f t="shared" si="1"/>
        <v>-531</v>
      </c>
      <c r="G36">
        <f t="shared" si="2"/>
        <v>-2.0737500000032014</v>
      </c>
      <c r="I36">
        <f t="shared" si="3"/>
        <v>-2.0737500000032014</v>
      </c>
      <c r="O36">
        <f t="shared" ca="1" si="4"/>
        <v>-1.8257458899963874</v>
      </c>
      <c r="Q36" s="2">
        <f t="shared" si="5"/>
        <v>4573.5999999999985</v>
      </c>
    </row>
    <row r="37" spans="1:17" x14ac:dyDescent="0.2">
      <c r="A37" s="45" t="s">
        <v>74</v>
      </c>
      <c r="B37" s="44" t="s">
        <v>30</v>
      </c>
      <c r="C37" s="45">
        <v>19811.7</v>
      </c>
      <c r="D37" s="45" t="s">
        <v>53</v>
      </c>
      <c r="E37">
        <f t="shared" si="0"/>
        <v>-525.05076749512841</v>
      </c>
      <c r="F37">
        <f t="shared" si="1"/>
        <v>-525</v>
      </c>
      <c r="G37">
        <f t="shared" si="2"/>
        <v>-1.8562500000007276</v>
      </c>
      <c r="I37">
        <f t="shared" si="3"/>
        <v>-1.8562500000007276</v>
      </c>
      <c r="O37">
        <f t="shared" ca="1" si="4"/>
        <v>-1.8071334233705816</v>
      </c>
      <c r="Q37" s="2">
        <f t="shared" si="5"/>
        <v>4793.2000000000007</v>
      </c>
    </row>
    <row r="38" spans="1:17" x14ac:dyDescent="0.2">
      <c r="A38" s="29" t="s">
        <v>40</v>
      </c>
      <c r="B38" s="30" t="s">
        <v>30</v>
      </c>
      <c r="C38" s="29">
        <v>22627.439999999999</v>
      </c>
      <c r="D38" s="29" t="s">
        <v>41</v>
      </c>
      <c r="E38">
        <f t="shared" si="0"/>
        <v>-448.04170797579582</v>
      </c>
      <c r="F38">
        <f t="shared" si="1"/>
        <v>-448</v>
      </c>
      <c r="G38">
        <f t="shared" si="2"/>
        <v>-1.5250000000050932</v>
      </c>
      <c r="J38">
        <f>+G38</f>
        <v>-1.5250000000050932</v>
      </c>
      <c r="O38">
        <f t="shared" ca="1" si="4"/>
        <v>-1.5682734350060712</v>
      </c>
      <c r="Q38" s="2">
        <f t="shared" si="5"/>
        <v>7608.9399999999987</v>
      </c>
    </row>
    <row r="39" spans="1:17" x14ac:dyDescent="0.2">
      <c r="A39" s="45" t="s">
        <v>115</v>
      </c>
      <c r="B39" s="44" t="s">
        <v>296</v>
      </c>
      <c r="C39" s="45">
        <v>23084.32</v>
      </c>
      <c r="D39" s="45" t="s">
        <v>53</v>
      </c>
      <c r="E39">
        <f t="shared" si="0"/>
        <v>-435.54627192232749</v>
      </c>
      <c r="F39">
        <f t="shared" si="1"/>
        <v>-435.5</v>
      </c>
      <c r="G39">
        <f t="shared" si="2"/>
        <v>-1.6918750000040745</v>
      </c>
      <c r="I39">
        <f>+G39</f>
        <v>-1.6918750000040745</v>
      </c>
      <c r="O39">
        <f t="shared" ca="1" si="4"/>
        <v>-1.5294974628689755</v>
      </c>
      <c r="Q39" s="2">
        <f t="shared" si="5"/>
        <v>8065.82</v>
      </c>
    </row>
    <row r="40" spans="1:17" x14ac:dyDescent="0.2">
      <c r="A40" s="29" t="s">
        <v>40</v>
      </c>
      <c r="B40" s="30" t="s">
        <v>30</v>
      </c>
      <c r="C40" s="29">
        <v>23358.78</v>
      </c>
      <c r="D40" s="29" t="s">
        <v>41</v>
      </c>
      <c r="E40">
        <f t="shared" si="0"/>
        <v>-428.03993025879464</v>
      </c>
      <c r="F40">
        <f t="shared" si="1"/>
        <v>-428</v>
      </c>
      <c r="G40">
        <f t="shared" si="2"/>
        <v>-1.4600000000027649</v>
      </c>
      <c r="J40">
        <f>+G40</f>
        <v>-1.4600000000027649</v>
      </c>
      <c r="O40">
        <f t="shared" ca="1" si="4"/>
        <v>-1.506231879586718</v>
      </c>
      <c r="Q40" s="2">
        <f t="shared" si="5"/>
        <v>8340.2799999999988</v>
      </c>
    </row>
    <row r="41" spans="1:17" x14ac:dyDescent="0.2">
      <c r="A41" s="45" t="s">
        <v>123</v>
      </c>
      <c r="B41" s="44" t="s">
        <v>30</v>
      </c>
      <c r="C41" s="45">
        <v>23614.62</v>
      </c>
      <c r="D41" s="45" t="s">
        <v>53</v>
      </c>
      <c r="E41">
        <f t="shared" si="0"/>
        <v>-421.04283614235419</v>
      </c>
      <c r="F41">
        <f t="shared" si="1"/>
        <v>-421</v>
      </c>
      <c r="G41">
        <f t="shared" si="2"/>
        <v>-1.5662500000034925</v>
      </c>
      <c r="I41">
        <f>+G41</f>
        <v>-1.5662500000034925</v>
      </c>
      <c r="O41">
        <f t="shared" ca="1" si="4"/>
        <v>-1.4845173351899443</v>
      </c>
      <c r="Q41" s="2">
        <f t="shared" si="5"/>
        <v>8596.119999999999</v>
      </c>
    </row>
    <row r="42" spans="1:17" x14ac:dyDescent="0.2">
      <c r="A42" s="29" t="s">
        <v>40</v>
      </c>
      <c r="B42" s="30" t="s">
        <v>30</v>
      </c>
      <c r="C42" s="29">
        <v>23724.46</v>
      </c>
      <c r="D42" s="29" t="s">
        <v>41</v>
      </c>
      <c r="E42">
        <f t="shared" si="0"/>
        <v>-418.03876790537083</v>
      </c>
      <c r="F42">
        <f t="shared" si="1"/>
        <v>-418</v>
      </c>
      <c r="G42">
        <f t="shared" si="2"/>
        <v>-1.4175000000032014</v>
      </c>
      <c r="J42">
        <f>+G42</f>
        <v>-1.4175000000032014</v>
      </c>
      <c r="O42">
        <f t="shared" ca="1" si="4"/>
        <v>-1.4752111018770413</v>
      </c>
      <c r="Q42" s="2">
        <f t="shared" si="5"/>
        <v>8705.9599999999991</v>
      </c>
    </row>
    <row r="43" spans="1:17" x14ac:dyDescent="0.2">
      <c r="A43" s="45" t="s">
        <v>74</v>
      </c>
      <c r="B43" s="44" t="s">
        <v>296</v>
      </c>
      <c r="C43" s="45">
        <v>23742.34</v>
      </c>
      <c r="D43" s="45" t="s">
        <v>53</v>
      </c>
      <c r="E43">
        <f t="shared" si="0"/>
        <v>-417.54975898259892</v>
      </c>
      <c r="F43">
        <f t="shared" si="1"/>
        <v>-417.5</v>
      </c>
      <c r="G43">
        <f t="shared" si="2"/>
        <v>-1.8193750000027649</v>
      </c>
      <c r="I43">
        <f t="shared" ref="I43:I51" si="6">+G43</f>
        <v>-1.8193750000027649</v>
      </c>
      <c r="O43">
        <f t="shared" ca="1" si="4"/>
        <v>-1.4736600629915575</v>
      </c>
      <c r="Q43" s="2">
        <f t="shared" si="5"/>
        <v>8723.84</v>
      </c>
    </row>
    <row r="44" spans="1:17" x14ac:dyDescent="0.2">
      <c r="A44" s="45" t="s">
        <v>123</v>
      </c>
      <c r="B44" s="44" t="s">
        <v>30</v>
      </c>
      <c r="C44" s="45">
        <v>23980.37</v>
      </c>
      <c r="D44" s="45" t="s">
        <v>53</v>
      </c>
      <c r="E44">
        <f t="shared" si="0"/>
        <v>-411.03975932446764</v>
      </c>
      <c r="F44">
        <f t="shared" si="1"/>
        <v>-411</v>
      </c>
      <c r="G44">
        <f t="shared" si="2"/>
        <v>-1.4537500000042201</v>
      </c>
      <c r="I44">
        <f t="shared" si="6"/>
        <v>-1.4537500000042201</v>
      </c>
      <c r="O44">
        <f t="shared" ca="1" si="4"/>
        <v>-1.4534965574802676</v>
      </c>
      <c r="Q44" s="2">
        <f t="shared" si="5"/>
        <v>8961.869999999999</v>
      </c>
    </row>
    <row r="45" spans="1:17" x14ac:dyDescent="0.2">
      <c r="A45" s="45" t="s">
        <v>123</v>
      </c>
      <c r="B45" s="44" t="s">
        <v>30</v>
      </c>
      <c r="C45" s="45">
        <v>24492.39</v>
      </c>
      <c r="D45" s="45" t="s">
        <v>53</v>
      </c>
      <c r="E45">
        <f t="shared" si="0"/>
        <v>-397.03627226419616</v>
      </c>
      <c r="F45">
        <f t="shared" si="1"/>
        <v>-397</v>
      </c>
      <c r="G45">
        <f t="shared" si="2"/>
        <v>-1.3262500000018917</v>
      </c>
      <c r="I45">
        <f t="shared" si="6"/>
        <v>-1.3262500000018917</v>
      </c>
      <c r="O45">
        <f t="shared" ca="1" si="4"/>
        <v>-1.4100674686867203</v>
      </c>
      <c r="Q45" s="2">
        <f t="shared" si="5"/>
        <v>9473.89</v>
      </c>
    </row>
    <row r="46" spans="1:17" x14ac:dyDescent="0.2">
      <c r="A46" s="45" t="s">
        <v>123</v>
      </c>
      <c r="B46" s="44" t="s">
        <v>30</v>
      </c>
      <c r="C46" s="45">
        <v>25004.44</v>
      </c>
      <c r="D46" s="45" t="s">
        <v>53</v>
      </c>
      <c r="E46">
        <f t="shared" si="0"/>
        <v>-383.03196471915498</v>
      </c>
      <c r="F46">
        <f t="shared" si="1"/>
        <v>-383</v>
      </c>
      <c r="G46">
        <f t="shared" si="2"/>
        <v>-1.1687500000007276</v>
      </c>
      <c r="I46">
        <f t="shared" si="6"/>
        <v>-1.1687500000007276</v>
      </c>
      <c r="O46">
        <f t="shared" ca="1" si="4"/>
        <v>-1.3666383798931729</v>
      </c>
      <c r="Q46" s="2">
        <f t="shared" si="5"/>
        <v>9985.9399999999987</v>
      </c>
    </row>
    <row r="47" spans="1:17" x14ac:dyDescent="0.2">
      <c r="A47" s="45" t="s">
        <v>123</v>
      </c>
      <c r="B47" s="44" t="s">
        <v>30</v>
      </c>
      <c r="C47" s="45">
        <v>25260.19</v>
      </c>
      <c r="D47" s="45" t="s">
        <v>53</v>
      </c>
      <c r="E47">
        <f t="shared" si="0"/>
        <v>-376.03733205702378</v>
      </c>
      <c r="F47">
        <f t="shared" si="1"/>
        <v>-376</v>
      </c>
      <c r="G47">
        <f t="shared" si="2"/>
        <v>-1.3650000000016007</v>
      </c>
      <c r="I47">
        <f t="shared" si="6"/>
        <v>-1.3650000000016007</v>
      </c>
      <c r="O47">
        <f t="shared" ca="1" si="4"/>
        <v>-1.3449238354963993</v>
      </c>
      <c r="Q47" s="2">
        <f t="shared" si="5"/>
        <v>10241.689999999999</v>
      </c>
    </row>
    <row r="48" spans="1:17" x14ac:dyDescent="0.2">
      <c r="A48" s="45" t="s">
        <v>123</v>
      </c>
      <c r="B48" s="44" t="s">
        <v>30</v>
      </c>
      <c r="C48" s="45">
        <v>25516.22</v>
      </c>
      <c r="D48" s="45" t="s">
        <v>53</v>
      </c>
      <c r="E48">
        <f t="shared" si="0"/>
        <v>-369.03504153704148</v>
      </c>
      <c r="F48">
        <f t="shared" si="1"/>
        <v>-369</v>
      </c>
      <c r="G48">
        <f t="shared" si="2"/>
        <v>-1.28125</v>
      </c>
      <c r="I48">
        <f t="shared" si="6"/>
        <v>-1.28125</v>
      </c>
      <c r="O48">
        <f t="shared" ca="1" si="4"/>
        <v>-1.3232092910996256</v>
      </c>
      <c r="Q48" s="2">
        <f t="shared" si="5"/>
        <v>10497.720000000001</v>
      </c>
    </row>
    <row r="49" spans="1:17" x14ac:dyDescent="0.2">
      <c r="A49" s="45" t="s">
        <v>123</v>
      </c>
      <c r="B49" s="44" t="s">
        <v>30</v>
      </c>
      <c r="C49" s="45">
        <v>25589.51</v>
      </c>
      <c r="D49" s="45" t="s">
        <v>53</v>
      </c>
      <c r="E49">
        <f t="shared" si="0"/>
        <v>-367.03059724453874</v>
      </c>
      <c r="F49">
        <f t="shared" si="1"/>
        <v>-367</v>
      </c>
      <c r="G49">
        <f t="shared" si="2"/>
        <v>-1.1187500000050932</v>
      </c>
      <c r="I49">
        <f t="shared" si="6"/>
        <v>-1.1187500000050932</v>
      </c>
      <c r="O49">
        <f t="shared" ca="1" si="4"/>
        <v>-1.3170051355576904</v>
      </c>
      <c r="Q49" s="2">
        <f t="shared" si="5"/>
        <v>10571.009999999998</v>
      </c>
    </row>
    <row r="50" spans="1:17" x14ac:dyDescent="0.2">
      <c r="A50" s="45" t="s">
        <v>123</v>
      </c>
      <c r="B50" s="44" t="s">
        <v>30</v>
      </c>
      <c r="C50" s="45">
        <v>25699.040000000001</v>
      </c>
      <c r="D50" s="45" t="s">
        <v>53</v>
      </c>
      <c r="E50">
        <f t="shared" si="0"/>
        <v>-364.0350073501761</v>
      </c>
      <c r="F50">
        <f t="shared" si="1"/>
        <v>-364</v>
      </c>
      <c r="G50">
        <f t="shared" si="2"/>
        <v>-1.2799999999988358</v>
      </c>
      <c r="I50">
        <f t="shared" si="6"/>
        <v>-1.2799999999988358</v>
      </c>
      <c r="O50">
        <f t="shared" ca="1" si="4"/>
        <v>-1.3076989022447874</v>
      </c>
      <c r="Q50" s="2">
        <f t="shared" si="5"/>
        <v>10680.54</v>
      </c>
    </row>
    <row r="51" spans="1:17" x14ac:dyDescent="0.2">
      <c r="A51" s="45" t="s">
        <v>123</v>
      </c>
      <c r="B51" s="44" t="s">
        <v>30</v>
      </c>
      <c r="C51" s="45">
        <v>25809</v>
      </c>
      <c r="D51" s="45" t="s">
        <v>53</v>
      </c>
      <c r="E51">
        <f t="shared" si="0"/>
        <v>-361.02765717411376</v>
      </c>
      <c r="F51">
        <f t="shared" si="1"/>
        <v>-361</v>
      </c>
      <c r="G51">
        <f t="shared" si="2"/>
        <v>-1.0112500000032014</v>
      </c>
      <c r="I51">
        <f t="shared" si="6"/>
        <v>-1.0112500000032014</v>
      </c>
      <c r="O51">
        <f t="shared" ca="1" si="4"/>
        <v>-1.2983926689318843</v>
      </c>
      <c r="Q51" s="2">
        <f t="shared" si="5"/>
        <v>10790.5</v>
      </c>
    </row>
    <row r="52" spans="1:17" x14ac:dyDescent="0.2">
      <c r="A52" s="29" t="s">
        <v>40</v>
      </c>
      <c r="B52" s="30" t="s">
        <v>30</v>
      </c>
      <c r="C52" s="29">
        <v>25918.54</v>
      </c>
      <c r="D52" s="29" t="s">
        <v>41</v>
      </c>
      <c r="E52">
        <f t="shared" si="0"/>
        <v>-358.03179378482787</v>
      </c>
      <c r="F52">
        <f t="shared" si="1"/>
        <v>-358</v>
      </c>
      <c r="G52">
        <f t="shared" si="2"/>
        <v>-1.1624999999985448</v>
      </c>
      <c r="J52">
        <f>+G52</f>
        <v>-1.1624999999985448</v>
      </c>
      <c r="O52">
        <f t="shared" ca="1" si="4"/>
        <v>-1.2890864356189813</v>
      </c>
      <c r="Q52" s="2">
        <f t="shared" si="5"/>
        <v>10900.04</v>
      </c>
    </row>
    <row r="53" spans="1:17" x14ac:dyDescent="0.2">
      <c r="A53" s="45" t="s">
        <v>123</v>
      </c>
      <c r="B53" s="44" t="s">
        <v>30</v>
      </c>
      <c r="C53" s="45">
        <v>25918.69</v>
      </c>
      <c r="D53" s="45" t="s">
        <v>53</v>
      </c>
      <c r="E53">
        <f t="shared" ref="E53:E89" si="7">+(C53-C$7)/C$8</f>
        <v>-358.02769136097919</v>
      </c>
      <c r="F53">
        <f t="shared" ref="F53:F84" si="8">ROUND(2*E53,0)/2</f>
        <v>-358</v>
      </c>
      <c r="G53">
        <f t="shared" ref="G53:G84" si="9">+C53-(C$7+F53*C$8)</f>
        <v>-1.0125000000007276</v>
      </c>
      <c r="I53">
        <f>+G53</f>
        <v>-1.0125000000007276</v>
      </c>
      <c r="O53">
        <f t="shared" ref="O53:O89" ca="1" si="10">+C$11+C$12*$F53</f>
        <v>-1.2890864356189813</v>
      </c>
      <c r="Q53" s="2">
        <f t="shared" ref="Q53:Q89" si="11">+C53-15018.5</f>
        <v>10900.189999999999</v>
      </c>
    </row>
    <row r="54" spans="1:17" x14ac:dyDescent="0.2">
      <c r="A54" s="45" t="s">
        <v>163</v>
      </c>
      <c r="B54" s="44" t="s">
        <v>30</v>
      </c>
      <c r="C54" s="45">
        <v>26101.4</v>
      </c>
      <c r="D54" s="45" t="s">
        <v>53</v>
      </c>
      <c r="E54">
        <f t="shared" si="7"/>
        <v>-353.0306656182695</v>
      </c>
      <c r="F54">
        <f t="shared" si="8"/>
        <v>-353</v>
      </c>
      <c r="G54">
        <f t="shared" si="9"/>
        <v>-1.1212500000001455</v>
      </c>
      <c r="I54">
        <f>+G54</f>
        <v>-1.1212500000001455</v>
      </c>
      <c r="O54">
        <f t="shared" ca="1" si="10"/>
        <v>-1.273576046764143</v>
      </c>
      <c r="Q54" s="2">
        <f t="shared" si="11"/>
        <v>11082.900000000001</v>
      </c>
    </row>
    <row r="55" spans="1:17" x14ac:dyDescent="0.2">
      <c r="A55" s="45" t="s">
        <v>168</v>
      </c>
      <c r="B55" s="44" t="s">
        <v>30</v>
      </c>
      <c r="C55" s="45">
        <v>30599.81</v>
      </c>
      <c r="D55" s="45" t="s">
        <v>53</v>
      </c>
      <c r="E55">
        <f t="shared" si="7"/>
        <v>-230.00143584834709</v>
      </c>
      <c r="F55">
        <f t="shared" si="8"/>
        <v>-230</v>
      </c>
      <c r="G55">
        <f t="shared" si="9"/>
        <v>-5.2500000001600711E-2</v>
      </c>
      <c r="I55">
        <f>+G55</f>
        <v>-5.2500000001600711E-2</v>
      </c>
      <c r="O55">
        <f t="shared" ca="1" si="10"/>
        <v>-0.89202048093512021</v>
      </c>
      <c r="Q55" s="2">
        <f t="shared" si="11"/>
        <v>15581.310000000001</v>
      </c>
    </row>
    <row r="56" spans="1:17" x14ac:dyDescent="0.2">
      <c r="A56" s="29" t="s">
        <v>40</v>
      </c>
      <c r="B56" s="30" t="s">
        <v>30</v>
      </c>
      <c r="C56" s="29">
        <v>30635.7</v>
      </c>
      <c r="D56" s="29" t="s">
        <v>41</v>
      </c>
      <c r="E56">
        <f t="shared" si="7"/>
        <v>-229.0198625688011</v>
      </c>
      <c r="F56">
        <f t="shared" si="8"/>
        <v>-229</v>
      </c>
      <c r="G56">
        <f t="shared" si="9"/>
        <v>-0.72625000000334694</v>
      </c>
      <c r="J56">
        <f>+G56</f>
        <v>-0.72625000000334694</v>
      </c>
      <c r="O56">
        <f t="shared" ca="1" si="10"/>
        <v>-0.88891840316415249</v>
      </c>
      <c r="Q56" s="2">
        <f t="shared" si="11"/>
        <v>15617.2</v>
      </c>
    </row>
    <row r="57" spans="1:17" x14ac:dyDescent="0.2">
      <c r="A57" s="45" t="s">
        <v>178</v>
      </c>
      <c r="B57" s="44" t="s">
        <v>30</v>
      </c>
      <c r="C57" s="45">
        <v>30671.960999999999</v>
      </c>
      <c r="D57" s="45" t="s">
        <v>53</v>
      </c>
      <c r="E57">
        <f t="shared" si="7"/>
        <v>-228.02814262760253</v>
      </c>
      <c r="F57">
        <f t="shared" si="8"/>
        <v>-228</v>
      </c>
      <c r="G57">
        <f t="shared" si="9"/>
        <v>-1.0290000000022701</v>
      </c>
      <c r="I57">
        <f>+G57</f>
        <v>-1.0290000000022701</v>
      </c>
      <c r="O57">
        <f t="shared" ca="1" si="10"/>
        <v>-0.88581632539318478</v>
      </c>
      <c r="Q57" s="2">
        <f t="shared" si="11"/>
        <v>15653.460999999999</v>
      </c>
    </row>
    <row r="58" spans="1:17" x14ac:dyDescent="0.2">
      <c r="A58" s="29" t="s">
        <v>40</v>
      </c>
      <c r="B58" s="30" t="s">
        <v>30</v>
      </c>
      <c r="C58" s="29">
        <v>31403.56</v>
      </c>
      <c r="D58" s="29" t="s">
        <v>41</v>
      </c>
      <c r="E58">
        <f t="shared" si="7"/>
        <v>-208.01928139208917</v>
      </c>
      <c r="F58">
        <f t="shared" si="8"/>
        <v>-208</v>
      </c>
      <c r="G58">
        <f t="shared" si="9"/>
        <v>-0.70499999999810825</v>
      </c>
      <c r="J58">
        <f>+G58</f>
        <v>-0.70499999999810825</v>
      </c>
      <c r="O58">
        <f t="shared" ca="1" si="10"/>
        <v>-0.82377476997383148</v>
      </c>
      <c r="Q58" s="2">
        <f t="shared" si="11"/>
        <v>16385.060000000001</v>
      </c>
    </row>
    <row r="59" spans="1:17" x14ac:dyDescent="0.2">
      <c r="A59" s="29" t="s">
        <v>40</v>
      </c>
      <c r="B59" s="30" t="s">
        <v>30</v>
      </c>
      <c r="C59" s="29">
        <v>32500.61</v>
      </c>
      <c r="D59" s="29" t="s">
        <v>41</v>
      </c>
      <c r="E59">
        <f t="shared" si="7"/>
        <v>-178.0155208368945</v>
      </c>
      <c r="F59">
        <f t="shared" si="8"/>
        <v>-178</v>
      </c>
      <c r="G59">
        <f t="shared" si="9"/>
        <v>-0.56750000000101863</v>
      </c>
      <c r="J59">
        <f>+G59</f>
        <v>-0.56750000000101863</v>
      </c>
      <c r="O59">
        <f t="shared" ca="1" si="10"/>
        <v>-0.73071243684480158</v>
      </c>
      <c r="Q59" s="2">
        <f t="shared" si="11"/>
        <v>17482.11</v>
      </c>
    </row>
    <row r="60" spans="1:17" x14ac:dyDescent="0.2">
      <c r="A60" s="29" t="s">
        <v>40</v>
      </c>
      <c r="B60" s="30" t="s">
        <v>30</v>
      </c>
      <c r="C60" s="29">
        <v>33158.78</v>
      </c>
      <c r="D60" s="29" t="s">
        <v>41</v>
      </c>
      <c r="E60">
        <f t="shared" si="7"/>
        <v>-160.01490547331724</v>
      </c>
      <c r="F60">
        <f t="shared" si="8"/>
        <v>-160</v>
      </c>
      <c r="G60">
        <f t="shared" si="9"/>
        <v>-0.54500000000552973</v>
      </c>
      <c r="J60">
        <f>+G60</f>
        <v>-0.54500000000552973</v>
      </c>
      <c r="O60">
        <f t="shared" ca="1" si="10"/>
        <v>-0.6748750369673836</v>
      </c>
      <c r="Q60" s="2">
        <f t="shared" si="11"/>
        <v>18140.28</v>
      </c>
    </row>
    <row r="61" spans="1:17" x14ac:dyDescent="0.2">
      <c r="A61" s="29" t="s">
        <v>40</v>
      </c>
      <c r="B61" s="30" t="s">
        <v>30</v>
      </c>
      <c r="C61" s="29">
        <v>33195.33</v>
      </c>
      <c r="D61" s="29" t="s">
        <v>41</v>
      </c>
      <c r="E61">
        <f t="shared" si="7"/>
        <v>-159.01528152883662</v>
      </c>
      <c r="F61">
        <f t="shared" si="8"/>
        <v>-159</v>
      </c>
      <c r="G61">
        <f t="shared" si="9"/>
        <v>-0.55874999999650754</v>
      </c>
      <c r="J61">
        <f>+G61</f>
        <v>-0.55874999999650754</v>
      </c>
      <c r="O61">
        <f t="shared" ca="1" si="10"/>
        <v>-0.67177295919641589</v>
      </c>
      <c r="Q61" s="2">
        <f t="shared" si="11"/>
        <v>18176.830000000002</v>
      </c>
    </row>
    <row r="62" spans="1:17" x14ac:dyDescent="0.2">
      <c r="A62" s="29" t="s">
        <v>40</v>
      </c>
      <c r="B62" s="30" t="s">
        <v>30</v>
      </c>
      <c r="C62" s="29">
        <v>33597.629999999997</v>
      </c>
      <c r="D62" s="29" t="s">
        <v>41</v>
      </c>
      <c r="E62">
        <f t="shared" si="7"/>
        <v>-148.01258076646963</v>
      </c>
      <c r="F62">
        <f t="shared" si="8"/>
        <v>-148</v>
      </c>
      <c r="G62">
        <f t="shared" si="9"/>
        <v>-0.46000000000640284</v>
      </c>
      <c r="J62">
        <f>+G62</f>
        <v>-0.46000000000640284</v>
      </c>
      <c r="O62">
        <f t="shared" ca="1" si="10"/>
        <v>-0.63765010371577158</v>
      </c>
      <c r="Q62" s="2">
        <f t="shared" si="11"/>
        <v>18579.129999999997</v>
      </c>
    </row>
    <row r="63" spans="1:17" x14ac:dyDescent="0.2">
      <c r="A63" s="45" t="s">
        <v>198</v>
      </c>
      <c r="B63" s="44" t="s">
        <v>30</v>
      </c>
      <c r="C63" s="45">
        <v>33963.279999999999</v>
      </c>
      <c r="D63" s="45" t="s">
        <v>53</v>
      </c>
      <c r="E63">
        <f t="shared" si="7"/>
        <v>-138.01223889781554</v>
      </c>
      <c r="F63">
        <f t="shared" si="8"/>
        <v>-138</v>
      </c>
      <c r="G63">
        <f t="shared" si="9"/>
        <v>-0.44750000000203727</v>
      </c>
      <c r="I63">
        <f>+G63</f>
        <v>-0.44750000000203727</v>
      </c>
      <c r="O63">
        <f t="shared" ca="1" si="10"/>
        <v>-0.60662932600609487</v>
      </c>
      <c r="Q63" s="2">
        <f t="shared" si="11"/>
        <v>18944.78</v>
      </c>
    </row>
    <row r="64" spans="1:17" x14ac:dyDescent="0.2">
      <c r="A64" s="29" t="s">
        <v>40</v>
      </c>
      <c r="B64" s="30" t="s">
        <v>30</v>
      </c>
      <c r="C64" s="29">
        <v>34036.35</v>
      </c>
      <c r="D64" s="29" t="s">
        <v>41</v>
      </c>
      <c r="E64">
        <f t="shared" si="7"/>
        <v>-136.01381149362425</v>
      </c>
      <c r="F64">
        <f t="shared" si="8"/>
        <v>-136</v>
      </c>
      <c r="G64">
        <f t="shared" si="9"/>
        <v>-0.50500000000465661</v>
      </c>
      <c r="J64">
        <f>+G64</f>
        <v>-0.50500000000465661</v>
      </c>
      <c r="O64">
        <f t="shared" ca="1" si="10"/>
        <v>-0.60042517046415966</v>
      </c>
      <c r="Q64" s="2">
        <f t="shared" si="11"/>
        <v>19017.849999999999</v>
      </c>
    </row>
    <row r="65" spans="1:17" x14ac:dyDescent="0.2">
      <c r="A65" s="29" t="s">
        <v>40</v>
      </c>
      <c r="B65" s="30" t="s">
        <v>30</v>
      </c>
      <c r="C65" s="29">
        <v>34292.29</v>
      </c>
      <c r="D65" s="29" t="s">
        <v>41</v>
      </c>
      <c r="E65">
        <f t="shared" si="7"/>
        <v>-129.01398242795119</v>
      </c>
      <c r="F65">
        <f t="shared" si="8"/>
        <v>-129</v>
      </c>
      <c r="G65">
        <f t="shared" si="9"/>
        <v>-0.51125000000320142</v>
      </c>
      <c r="J65">
        <f>+G65</f>
        <v>-0.51125000000320142</v>
      </c>
      <c r="O65">
        <f t="shared" ca="1" si="10"/>
        <v>-0.57871062606738599</v>
      </c>
      <c r="Q65" s="2">
        <f t="shared" si="11"/>
        <v>19273.79</v>
      </c>
    </row>
    <row r="66" spans="1:17" x14ac:dyDescent="0.2">
      <c r="A66" s="45" t="s">
        <v>208</v>
      </c>
      <c r="B66" s="44" t="s">
        <v>30</v>
      </c>
      <c r="C66" s="45">
        <v>34987.4</v>
      </c>
      <c r="D66" s="45" t="s">
        <v>53</v>
      </c>
      <c r="E66">
        <f t="shared" si="7"/>
        <v>-110.00307681788657</v>
      </c>
      <c r="F66">
        <f t="shared" si="8"/>
        <v>-110</v>
      </c>
      <c r="G66">
        <f t="shared" si="9"/>
        <v>-0.11250000000291038</v>
      </c>
      <c r="I66">
        <f>+G66</f>
        <v>-0.11250000000291038</v>
      </c>
      <c r="O66">
        <f t="shared" ca="1" si="10"/>
        <v>-0.5197711484190003</v>
      </c>
      <c r="Q66" s="2">
        <f t="shared" si="11"/>
        <v>19968.900000000001</v>
      </c>
    </row>
    <row r="67" spans="1:17" x14ac:dyDescent="0.2">
      <c r="A67" s="45" t="s">
        <v>213</v>
      </c>
      <c r="B67" s="44" t="s">
        <v>30</v>
      </c>
      <c r="C67" s="45">
        <v>35132.36</v>
      </c>
      <c r="D67" s="45" t="s">
        <v>53</v>
      </c>
      <c r="E67">
        <f t="shared" si="7"/>
        <v>-106.03849441044753</v>
      </c>
      <c r="F67">
        <f t="shared" si="8"/>
        <v>-106</v>
      </c>
      <c r="G67">
        <f t="shared" si="9"/>
        <v>-1.4075000000011642</v>
      </c>
      <c r="I67">
        <f>+G67</f>
        <v>-1.4075000000011642</v>
      </c>
      <c r="O67">
        <f t="shared" ca="1" si="10"/>
        <v>-0.50736283733512966</v>
      </c>
      <c r="Q67" s="2">
        <f t="shared" si="11"/>
        <v>20113.86</v>
      </c>
    </row>
    <row r="68" spans="1:17" x14ac:dyDescent="0.2">
      <c r="A68" s="45" t="s">
        <v>213</v>
      </c>
      <c r="B68" s="44" t="s">
        <v>30</v>
      </c>
      <c r="C68" s="45">
        <v>35717.35</v>
      </c>
      <c r="D68" s="45" t="s">
        <v>53</v>
      </c>
      <c r="E68">
        <f t="shared" si="7"/>
        <v>-90.039314895217345</v>
      </c>
      <c r="F68">
        <f t="shared" si="8"/>
        <v>-90</v>
      </c>
      <c r="G68">
        <f t="shared" si="9"/>
        <v>-1.4375</v>
      </c>
      <c r="I68">
        <f>+G68</f>
        <v>-1.4375</v>
      </c>
      <c r="O68">
        <f t="shared" ca="1" si="10"/>
        <v>-0.45772959299964699</v>
      </c>
      <c r="Q68" s="2">
        <f t="shared" si="11"/>
        <v>20698.849999999999</v>
      </c>
    </row>
    <row r="69" spans="1:17" x14ac:dyDescent="0.2">
      <c r="A69" s="29" t="s">
        <v>40</v>
      </c>
      <c r="B69" s="30" t="s">
        <v>30</v>
      </c>
      <c r="C69" s="29">
        <v>35754.980000000003</v>
      </c>
      <c r="D69" s="29" t="s">
        <v>41</v>
      </c>
      <c r="E69">
        <f t="shared" si="7"/>
        <v>-89.010153499025634</v>
      </c>
      <c r="F69">
        <f t="shared" si="8"/>
        <v>-89</v>
      </c>
      <c r="G69">
        <f t="shared" si="9"/>
        <v>-0.37124999999650754</v>
      </c>
      <c r="H69">
        <f>+G69</f>
        <v>-0.37124999999650754</v>
      </c>
      <c r="O69">
        <f t="shared" ca="1" si="10"/>
        <v>-0.45462751522867934</v>
      </c>
      <c r="Q69" s="2">
        <f t="shared" si="11"/>
        <v>20736.480000000003</v>
      </c>
    </row>
    <row r="70" spans="1:17" x14ac:dyDescent="0.2">
      <c r="A70" s="29" t="s">
        <v>40</v>
      </c>
      <c r="B70" s="30" t="s">
        <v>30</v>
      </c>
      <c r="C70" s="29">
        <v>36047.449999999997</v>
      </c>
      <c r="D70" s="29" t="s">
        <v>41</v>
      </c>
      <c r="E70">
        <f t="shared" si="7"/>
        <v>-81.011247478718801</v>
      </c>
      <c r="F70">
        <f t="shared" si="8"/>
        <v>-81</v>
      </c>
      <c r="G70">
        <f t="shared" si="9"/>
        <v>-0.41125000000465661</v>
      </c>
      <c r="H70">
        <f>+G70</f>
        <v>-0.41125000000465661</v>
      </c>
      <c r="O70">
        <f t="shared" ca="1" si="10"/>
        <v>-0.429810893060938</v>
      </c>
      <c r="Q70" s="2">
        <f t="shared" si="11"/>
        <v>21028.949999999997</v>
      </c>
    </row>
    <row r="71" spans="1:17" x14ac:dyDescent="0.2">
      <c r="A71" s="29" t="s">
        <v>40</v>
      </c>
      <c r="B71" s="30" t="s">
        <v>30</v>
      </c>
      <c r="C71" s="29">
        <v>36193.83</v>
      </c>
      <c r="D71" s="29" t="s">
        <v>41</v>
      </c>
      <c r="E71">
        <f t="shared" si="7"/>
        <v>-77.007828792178046</v>
      </c>
      <c r="F71">
        <f t="shared" si="8"/>
        <v>-77</v>
      </c>
      <c r="G71">
        <f t="shared" si="9"/>
        <v>-0.28624999999738066</v>
      </c>
      <c r="H71">
        <f>+G71</f>
        <v>-0.28624999999738066</v>
      </c>
      <c r="O71">
        <f t="shared" ca="1" si="10"/>
        <v>-0.41740258197706737</v>
      </c>
      <c r="Q71" s="2">
        <f t="shared" si="11"/>
        <v>21175.33</v>
      </c>
    </row>
    <row r="72" spans="1:17" x14ac:dyDescent="0.2">
      <c r="A72" s="29" t="s">
        <v>40</v>
      </c>
      <c r="B72" s="30" t="s">
        <v>30</v>
      </c>
      <c r="C72" s="29">
        <v>36779</v>
      </c>
      <c r="D72" s="29" t="s">
        <v>41</v>
      </c>
      <c r="E72">
        <f t="shared" si="7"/>
        <v>-61.003726368329332</v>
      </c>
      <c r="F72">
        <f t="shared" si="8"/>
        <v>-61</v>
      </c>
      <c r="G72">
        <f t="shared" si="9"/>
        <v>-0.13625000000320142</v>
      </c>
      <c r="H72">
        <f>+G72</f>
        <v>-0.13625000000320142</v>
      </c>
      <c r="O72">
        <f t="shared" ca="1" si="10"/>
        <v>-0.3677693376415847</v>
      </c>
      <c r="Q72" s="2">
        <f t="shared" si="11"/>
        <v>21760.5</v>
      </c>
    </row>
    <row r="73" spans="1:17" x14ac:dyDescent="0.2">
      <c r="A73" s="29" t="s">
        <v>40</v>
      </c>
      <c r="B73" s="30" t="s">
        <v>30</v>
      </c>
      <c r="C73" s="29">
        <v>37217.730000000003</v>
      </c>
      <c r="D73" s="29" t="s">
        <v>41</v>
      </c>
      <c r="E73">
        <f t="shared" si="7"/>
        <v>-49.004683600560618</v>
      </c>
      <c r="F73">
        <f t="shared" si="8"/>
        <v>-49</v>
      </c>
      <c r="G73">
        <f t="shared" si="9"/>
        <v>-0.17124999999941792</v>
      </c>
      <c r="H73">
        <f>+G73</f>
        <v>-0.17124999999941792</v>
      </c>
      <c r="O73">
        <f t="shared" ca="1" si="10"/>
        <v>-0.33054440438997268</v>
      </c>
      <c r="Q73" s="2">
        <f t="shared" si="11"/>
        <v>22199.230000000003</v>
      </c>
    </row>
    <row r="74" spans="1:17" x14ac:dyDescent="0.2">
      <c r="A74" s="45" t="s">
        <v>238</v>
      </c>
      <c r="B74" s="44" t="s">
        <v>30</v>
      </c>
      <c r="C74" s="45">
        <v>38314.660000000003</v>
      </c>
      <c r="D74" s="45" t="s">
        <v>53</v>
      </c>
      <c r="E74">
        <f t="shared" si="7"/>
        <v>-19.004204984444922</v>
      </c>
      <c r="F74">
        <f t="shared" si="8"/>
        <v>-19</v>
      </c>
      <c r="G74">
        <f t="shared" si="9"/>
        <v>-0.15374999999767169</v>
      </c>
      <c r="I74">
        <f>+G74</f>
        <v>-0.15374999999767169</v>
      </c>
      <c r="O74">
        <f t="shared" ca="1" si="10"/>
        <v>-0.23748207126094273</v>
      </c>
      <c r="Q74" s="2">
        <f t="shared" si="11"/>
        <v>23296.160000000003</v>
      </c>
    </row>
    <row r="75" spans="1:17" x14ac:dyDescent="0.2">
      <c r="A75" s="45" t="s">
        <v>243</v>
      </c>
      <c r="B75" s="44" t="s">
        <v>30</v>
      </c>
      <c r="C75" s="45">
        <v>38899.9</v>
      </c>
      <c r="D75" s="45" t="s">
        <v>53</v>
      </c>
      <c r="E75">
        <f t="shared" si="7"/>
        <v>-2.9981880961334655</v>
      </c>
      <c r="F75">
        <f t="shared" si="8"/>
        <v>-3</v>
      </c>
      <c r="G75">
        <f t="shared" si="9"/>
        <v>6.625000000349246E-2</v>
      </c>
      <c r="I75">
        <f>+G75</f>
        <v>6.625000000349246E-2</v>
      </c>
      <c r="O75">
        <f t="shared" ca="1" si="10"/>
        <v>-0.18784882692546009</v>
      </c>
      <c r="Q75" s="2">
        <f t="shared" si="11"/>
        <v>23881.4</v>
      </c>
    </row>
    <row r="76" spans="1:17" x14ac:dyDescent="0.2">
      <c r="A76" s="45" t="s">
        <v>243</v>
      </c>
      <c r="B76" s="44" t="s">
        <v>30</v>
      </c>
      <c r="C76" s="45">
        <v>39009.5</v>
      </c>
      <c r="D76" s="45" t="s">
        <v>53</v>
      </c>
      <c r="E76">
        <f t="shared" si="7"/>
        <v>-6.837373081660167E-4</v>
      </c>
      <c r="F76">
        <f t="shared" si="8"/>
        <v>0</v>
      </c>
      <c r="G76">
        <f t="shared" si="9"/>
        <v>-2.5000000001455192E-2</v>
      </c>
      <c r="I76">
        <f>+G76</f>
        <v>-2.5000000001455192E-2</v>
      </c>
      <c r="O76">
        <f t="shared" ca="1" si="10"/>
        <v>-0.17854259361255709</v>
      </c>
      <c r="Q76" s="2">
        <f t="shared" si="11"/>
        <v>23991</v>
      </c>
    </row>
    <row r="77" spans="1:17" x14ac:dyDescent="0.2">
      <c r="A77" t="s">
        <v>13</v>
      </c>
      <c r="C77" s="10">
        <v>39009.525000000001</v>
      </c>
      <c r="D77" s="10" t="s">
        <v>15</v>
      </c>
      <c r="E77">
        <f t="shared" si="7"/>
        <v>0</v>
      </c>
      <c r="F77">
        <f t="shared" si="8"/>
        <v>0</v>
      </c>
      <c r="G77">
        <f t="shared" si="9"/>
        <v>0</v>
      </c>
      <c r="H77">
        <f>+G77</f>
        <v>0</v>
      </c>
      <c r="O77">
        <f t="shared" ca="1" si="10"/>
        <v>-0.17854259361255709</v>
      </c>
      <c r="Q77" s="2">
        <f t="shared" si="11"/>
        <v>23991.025000000001</v>
      </c>
    </row>
    <row r="78" spans="1:17" x14ac:dyDescent="0.2">
      <c r="A78" s="45" t="s">
        <v>243</v>
      </c>
      <c r="B78" s="44" t="s">
        <v>30</v>
      </c>
      <c r="C78" s="45">
        <v>39119.300000000003</v>
      </c>
      <c r="D78" s="45" t="s">
        <v>53</v>
      </c>
      <c r="E78">
        <f t="shared" si="7"/>
        <v>3.0022905199822629</v>
      </c>
      <c r="F78">
        <f t="shared" si="8"/>
        <v>3</v>
      </c>
      <c r="G78">
        <f t="shared" si="9"/>
        <v>8.3749999997962732E-2</v>
      </c>
      <c r="I78">
        <f t="shared" ref="I78:I83" si="12">+G78</f>
        <v>8.3749999997962732E-2</v>
      </c>
      <c r="O78">
        <f t="shared" ca="1" si="10"/>
        <v>-0.16923636029965408</v>
      </c>
      <c r="Q78" s="2">
        <f t="shared" si="11"/>
        <v>24100.800000000003</v>
      </c>
    </row>
    <row r="79" spans="1:17" x14ac:dyDescent="0.2">
      <c r="A79" s="45" t="s">
        <v>243</v>
      </c>
      <c r="B79" s="44" t="s">
        <v>30</v>
      </c>
      <c r="C79" s="45">
        <v>39411.4</v>
      </c>
      <c r="D79" s="45" t="s">
        <v>53</v>
      </c>
      <c r="E79">
        <f t="shared" si="7"/>
        <v>10.991077228128953</v>
      </c>
      <c r="F79">
        <f t="shared" si="8"/>
        <v>11</v>
      </c>
      <c r="G79">
        <f t="shared" si="9"/>
        <v>-0.32624999999825377</v>
      </c>
      <c r="I79">
        <f t="shared" si="12"/>
        <v>-0.32624999999825377</v>
      </c>
      <c r="O79">
        <f t="shared" ca="1" si="10"/>
        <v>-0.14441973813191278</v>
      </c>
      <c r="Q79" s="2">
        <f t="shared" si="11"/>
        <v>24392.9</v>
      </c>
    </row>
    <row r="80" spans="1:17" x14ac:dyDescent="0.2">
      <c r="A80" s="45" t="s">
        <v>243</v>
      </c>
      <c r="B80" s="44" t="s">
        <v>30</v>
      </c>
      <c r="C80" s="45">
        <v>39448.400000000001</v>
      </c>
      <c r="D80" s="45" t="s">
        <v>53</v>
      </c>
      <c r="E80">
        <f t="shared" si="7"/>
        <v>12.003008444155755</v>
      </c>
      <c r="F80">
        <f t="shared" si="8"/>
        <v>12</v>
      </c>
      <c r="G80">
        <f t="shared" si="9"/>
        <v>0.11000000000058208</v>
      </c>
      <c r="I80">
        <f t="shared" si="12"/>
        <v>0.11000000000058208</v>
      </c>
      <c r="O80">
        <f t="shared" ca="1" si="10"/>
        <v>-0.14131766036094512</v>
      </c>
      <c r="Q80" s="2">
        <f t="shared" si="11"/>
        <v>24429.9</v>
      </c>
    </row>
    <row r="81" spans="1:17" x14ac:dyDescent="0.2">
      <c r="A81" s="45" t="s">
        <v>258</v>
      </c>
      <c r="B81" s="44" t="s">
        <v>30</v>
      </c>
      <c r="C81" s="45">
        <v>42300.53</v>
      </c>
      <c r="D81" s="45" t="s">
        <v>53</v>
      </c>
      <c r="E81">
        <f t="shared" si="7"/>
        <v>90.007315989196883</v>
      </c>
      <c r="F81">
        <f t="shared" si="8"/>
        <v>90</v>
      </c>
      <c r="G81">
        <f t="shared" si="9"/>
        <v>0.26749999999447027</v>
      </c>
      <c r="I81">
        <f t="shared" si="12"/>
        <v>0.26749999999447027</v>
      </c>
      <c r="O81">
        <f t="shared" ca="1" si="10"/>
        <v>0.10064440577453282</v>
      </c>
      <c r="Q81" s="2">
        <f t="shared" si="11"/>
        <v>27282.03</v>
      </c>
    </row>
    <row r="82" spans="1:17" x14ac:dyDescent="0.2">
      <c r="A82" s="45" t="s">
        <v>262</v>
      </c>
      <c r="B82" s="44" t="s">
        <v>30</v>
      </c>
      <c r="C82" s="45">
        <v>42592.6</v>
      </c>
      <c r="D82" s="45" t="s">
        <v>53</v>
      </c>
      <c r="E82">
        <f t="shared" si="7"/>
        <v>97.995282212573855</v>
      </c>
      <c r="F82">
        <f t="shared" si="8"/>
        <v>98</v>
      </c>
      <c r="G82">
        <f t="shared" si="9"/>
        <v>-0.17250000000058208</v>
      </c>
      <c r="I82">
        <f t="shared" si="12"/>
        <v>-0.17250000000058208</v>
      </c>
      <c r="O82">
        <f t="shared" ca="1" si="10"/>
        <v>0.12546102794227415</v>
      </c>
      <c r="Q82" s="2">
        <f t="shared" si="11"/>
        <v>27574.1</v>
      </c>
    </row>
    <row r="83" spans="1:17" x14ac:dyDescent="0.2">
      <c r="A83" s="45" t="s">
        <v>262</v>
      </c>
      <c r="B83" s="44" t="s">
        <v>30</v>
      </c>
      <c r="C83" s="45">
        <v>42592.68</v>
      </c>
      <c r="D83" s="45" t="s">
        <v>53</v>
      </c>
      <c r="E83">
        <f t="shared" si="7"/>
        <v>97.997470171959904</v>
      </c>
      <c r="F83">
        <f t="shared" si="8"/>
        <v>98</v>
      </c>
      <c r="G83">
        <f t="shared" si="9"/>
        <v>-9.2499999998835847E-2</v>
      </c>
      <c r="I83">
        <f t="shared" si="12"/>
        <v>-9.2499999998835847E-2</v>
      </c>
      <c r="O83">
        <f t="shared" ca="1" si="10"/>
        <v>0.12546102794227415</v>
      </c>
      <c r="Q83" s="2">
        <f t="shared" si="11"/>
        <v>27574.18</v>
      </c>
    </row>
    <row r="84" spans="1:17" x14ac:dyDescent="0.2">
      <c r="A84" s="45" t="s">
        <v>271</v>
      </c>
      <c r="B84" s="44" t="s">
        <v>30</v>
      </c>
      <c r="C84" s="45">
        <v>42739.199999999997</v>
      </c>
      <c r="D84" s="45" t="s">
        <v>53</v>
      </c>
      <c r="E84">
        <f t="shared" si="7"/>
        <v>102.00471778742596</v>
      </c>
      <c r="F84">
        <f t="shared" si="8"/>
        <v>102</v>
      </c>
      <c r="G84">
        <f t="shared" si="9"/>
        <v>0.17249999999330612</v>
      </c>
      <c r="I84">
        <f>+G84</f>
        <v>0.17249999999330612</v>
      </c>
      <c r="O84">
        <f t="shared" ca="1" si="10"/>
        <v>0.13786933902614479</v>
      </c>
      <c r="Q84" s="2">
        <f t="shared" si="11"/>
        <v>27720.699999999997</v>
      </c>
    </row>
    <row r="85" spans="1:17" x14ac:dyDescent="0.2">
      <c r="A85" s="45" t="s">
        <v>297</v>
      </c>
      <c r="B85" s="44" t="s">
        <v>30</v>
      </c>
      <c r="C85" s="45">
        <v>43909.11</v>
      </c>
      <c r="D85" s="45" t="s">
        <v>53</v>
      </c>
      <c r="E85">
        <f t="shared" si="7"/>
        <v>134.00116235342381</v>
      </c>
      <c r="F85">
        <f t="shared" ref="F85:F90" si="13">ROUND(2*E85,0)/2</f>
        <v>134</v>
      </c>
      <c r="G85">
        <f t="shared" ref="G85:G90" si="14">+C85-(C$7+F85*C$8)</f>
        <v>4.2499999995925464E-2</v>
      </c>
      <c r="I85">
        <f>+G85</f>
        <v>4.2499999995925464E-2</v>
      </c>
      <c r="O85">
        <f t="shared" ca="1" si="10"/>
        <v>0.23713582769711011</v>
      </c>
      <c r="Q85" s="2">
        <f t="shared" si="11"/>
        <v>28890.61</v>
      </c>
    </row>
    <row r="86" spans="1:17" x14ac:dyDescent="0.2">
      <c r="A86" s="45" t="s">
        <v>281</v>
      </c>
      <c r="B86" s="44" t="s">
        <v>30</v>
      </c>
      <c r="C86" s="45">
        <v>48260.67</v>
      </c>
      <c r="D86" s="45" t="s">
        <v>53</v>
      </c>
      <c r="E86">
        <f t="shared" si="7"/>
        <v>253.01411917541273</v>
      </c>
      <c r="F86">
        <f t="shared" si="13"/>
        <v>253</v>
      </c>
      <c r="G86">
        <f t="shared" si="14"/>
        <v>0.51625000000058208</v>
      </c>
      <c r="I86">
        <f>+G86</f>
        <v>0.51625000000058208</v>
      </c>
      <c r="O86">
        <f t="shared" ca="1" si="10"/>
        <v>0.60628308244226226</v>
      </c>
      <c r="Q86" s="2">
        <f t="shared" si="11"/>
        <v>33242.17</v>
      </c>
    </row>
    <row r="87" spans="1:17" x14ac:dyDescent="0.2">
      <c r="A87" s="45" t="s">
        <v>286</v>
      </c>
      <c r="B87" s="44" t="s">
        <v>30</v>
      </c>
      <c r="C87" s="45">
        <v>51075.64</v>
      </c>
      <c r="D87" s="45" t="s">
        <v>53</v>
      </c>
      <c r="E87">
        <f t="shared" si="7"/>
        <v>330.00211958565512</v>
      </c>
      <c r="F87">
        <f t="shared" si="13"/>
        <v>330</v>
      </c>
      <c r="G87">
        <f t="shared" si="14"/>
        <v>7.7499999999417923E-2</v>
      </c>
      <c r="I87">
        <f>+G87</f>
        <v>7.7499999999417923E-2</v>
      </c>
      <c r="O87">
        <f t="shared" ca="1" si="10"/>
        <v>0.84514307080677264</v>
      </c>
      <c r="Q87" s="2">
        <f t="shared" si="11"/>
        <v>36057.14</v>
      </c>
    </row>
    <row r="88" spans="1:17" x14ac:dyDescent="0.2">
      <c r="A88" s="45" t="s">
        <v>286</v>
      </c>
      <c r="B88" s="44" t="s">
        <v>30</v>
      </c>
      <c r="C88" s="45">
        <v>51076.160000000003</v>
      </c>
      <c r="D88" s="45" t="s">
        <v>53</v>
      </c>
      <c r="E88">
        <f t="shared" si="7"/>
        <v>330.0163413216643</v>
      </c>
      <c r="F88">
        <f t="shared" si="13"/>
        <v>330</v>
      </c>
      <c r="G88">
        <f t="shared" si="14"/>
        <v>0.59750000000349246</v>
      </c>
      <c r="I88">
        <f>+G88</f>
        <v>0.59750000000349246</v>
      </c>
      <c r="O88">
        <f t="shared" ca="1" si="10"/>
        <v>0.84514307080677264</v>
      </c>
      <c r="Q88" s="2">
        <f t="shared" si="11"/>
        <v>36057.660000000003</v>
      </c>
    </row>
    <row r="89" spans="1:17" x14ac:dyDescent="0.2">
      <c r="A89" t="s">
        <v>29</v>
      </c>
      <c r="B89" s="5" t="s">
        <v>30</v>
      </c>
      <c r="C89" s="10">
        <v>51387.497000000003</v>
      </c>
      <c r="D89" s="10"/>
      <c r="E89">
        <f t="shared" si="7"/>
        <v>338.53125021366799</v>
      </c>
      <c r="F89">
        <f t="shared" si="13"/>
        <v>338.5</v>
      </c>
      <c r="G89">
        <f t="shared" si="14"/>
        <v>1.1426250000004075</v>
      </c>
      <c r="J89">
        <f>+G89</f>
        <v>1.1426250000004075</v>
      </c>
      <c r="O89">
        <f t="shared" ca="1" si="10"/>
        <v>0.87151073185999772</v>
      </c>
      <c r="Q89" s="2">
        <f t="shared" si="11"/>
        <v>36368.997000000003</v>
      </c>
    </row>
    <row r="90" spans="1:17" x14ac:dyDescent="0.2">
      <c r="A90" s="46" t="s">
        <v>0</v>
      </c>
      <c r="B90" s="47" t="s">
        <v>30</v>
      </c>
      <c r="C90" s="48">
        <v>54367.411999999997</v>
      </c>
      <c r="D90" s="48">
        <v>0.25590000000000002</v>
      </c>
      <c r="E90">
        <f>+(C90-C$7)/C$8</f>
        <v>420.03041263546532</v>
      </c>
      <c r="F90">
        <f t="shared" si="13"/>
        <v>420</v>
      </c>
      <c r="G90">
        <f t="shared" si="14"/>
        <v>1.1119999999937136</v>
      </c>
      <c r="I90">
        <f>+G90</f>
        <v>1.1119999999937136</v>
      </c>
      <c r="O90">
        <f ca="1">+C$11+C$12*$F90</f>
        <v>1.1243300701938623</v>
      </c>
      <c r="Q90" s="2">
        <f>+C90-15018.5</f>
        <v>39348.911999999997</v>
      </c>
    </row>
    <row r="91" spans="1:17" x14ac:dyDescent="0.2">
      <c r="C91" s="10"/>
      <c r="D91" s="10"/>
    </row>
    <row r="92" spans="1:17" x14ac:dyDescent="0.2">
      <c r="C92" s="10"/>
      <c r="D92" s="10"/>
    </row>
    <row r="93" spans="1:17" x14ac:dyDescent="0.2">
      <c r="C93" s="10"/>
      <c r="D93" s="10"/>
    </row>
    <row r="94" spans="1:17" x14ac:dyDescent="0.2">
      <c r="C94" s="10"/>
      <c r="D94" s="10"/>
    </row>
    <row r="95" spans="1:17" x14ac:dyDescent="0.2">
      <c r="C95" s="10"/>
      <c r="D95" s="10"/>
    </row>
    <row r="96" spans="1:17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</sheetData>
  <phoneticPr fontId="8" type="noConversion"/>
  <hyperlinks>
    <hyperlink ref="H2341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0"/>
  <sheetViews>
    <sheetView topLeftCell="A42" workbookViewId="0">
      <selection activeCell="A29" sqref="A29:D78"/>
    </sheetView>
  </sheetViews>
  <sheetFormatPr defaultRowHeight="12.75" x14ac:dyDescent="0.2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31" t="s">
        <v>44</v>
      </c>
      <c r="I1" s="32" t="s">
        <v>45</v>
      </c>
      <c r="J1" s="33" t="s">
        <v>46</v>
      </c>
    </row>
    <row r="2" spans="1:16" x14ac:dyDescent="0.2">
      <c r="I2" s="34" t="s">
        <v>47</v>
      </c>
      <c r="J2" s="35" t="s">
        <v>48</v>
      </c>
    </row>
    <row r="3" spans="1:16" x14ac:dyDescent="0.2">
      <c r="A3" s="36" t="s">
        <v>49</v>
      </c>
      <c r="I3" s="34" t="s">
        <v>50</v>
      </c>
      <c r="J3" s="35" t="s">
        <v>41</v>
      </c>
    </row>
    <row r="4" spans="1:16" x14ac:dyDescent="0.2">
      <c r="I4" s="34" t="s">
        <v>51</v>
      </c>
      <c r="J4" s="35" t="s">
        <v>41</v>
      </c>
    </row>
    <row r="5" spans="1:16" ht="13.5" thickBot="1" x14ac:dyDescent="0.25">
      <c r="I5" s="37" t="s">
        <v>52</v>
      </c>
      <c r="J5" s="38" t="s">
        <v>53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 CPRI 13 </v>
      </c>
      <c r="B11" s="5" t="str">
        <f t="shared" ref="B11:B42" si="1">IF(H11=INT(H11),"I","II")</f>
        <v>I</v>
      </c>
      <c r="C11" s="10">
        <f t="shared" ref="C11:C42" si="2">1*G11</f>
        <v>22627.439999999999</v>
      </c>
      <c r="D11" s="13" t="str">
        <f t="shared" ref="D11:D42" si="3">VLOOKUP(F11,I$1:J$5,2,FALSE)</f>
        <v>vis</v>
      </c>
      <c r="E11" s="39">
        <f>VLOOKUP(C11,Active!C$21:E$973,3,FALSE)</f>
        <v>-448.04170797579582</v>
      </c>
      <c r="F11" s="5" t="s">
        <v>52</v>
      </c>
      <c r="G11" s="13" t="str">
        <f t="shared" ref="G11:G42" si="4">MID(I11,3,LEN(I11)-3)</f>
        <v>22627.44</v>
      </c>
      <c r="H11" s="10">
        <f t="shared" ref="H11:H42" si="5">1*K11</f>
        <v>-448</v>
      </c>
      <c r="I11" s="40" t="s">
        <v>106</v>
      </c>
      <c r="J11" s="41" t="s">
        <v>107</v>
      </c>
      <c r="K11" s="40">
        <v>-448</v>
      </c>
      <c r="L11" s="40" t="s">
        <v>108</v>
      </c>
      <c r="M11" s="41" t="s">
        <v>67</v>
      </c>
      <c r="N11" s="41"/>
      <c r="O11" s="42" t="s">
        <v>109</v>
      </c>
      <c r="P11" s="42" t="s">
        <v>110</v>
      </c>
    </row>
    <row r="12" spans="1:16" ht="12.75" customHeight="1" thickBot="1" x14ac:dyDescent="0.25">
      <c r="A12" s="10" t="str">
        <f t="shared" si="0"/>
        <v> CPRI 13 </v>
      </c>
      <c r="B12" s="5" t="str">
        <f t="shared" si="1"/>
        <v>I</v>
      </c>
      <c r="C12" s="10">
        <f t="shared" si="2"/>
        <v>23358.78</v>
      </c>
      <c r="D12" s="13" t="str">
        <f t="shared" si="3"/>
        <v>vis</v>
      </c>
      <c r="E12" s="39">
        <f>VLOOKUP(C12,Active!C$21:E$973,3,FALSE)</f>
        <v>-428.03993025879464</v>
      </c>
      <c r="F12" s="5" t="s">
        <v>52</v>
      </c>
      <c r="G12" s="13" t="str">
        <f t="shared" si="4"/>
        <v>23358.78</v>
      </c>
      <c r="H12" s="10">
        <f t="shared" si="5"/>
        <v>-428</v>
      </c>
      <c r="I12" s="40" t="s">
        <v>116</v>
      </c>
      <c r="J12" s="41" t="s">
        <v>117</v>
      </c>
      <c r="K12" s="40">
        <v>-428</v>
      </c>
      <c r="L12" s="40" t="s">
        <v>118</v>
      </c>
      <c r="M12" s="41" t="s">
        <v>67</v>
      </c>
      <c r="N12" s="41"/>
      <c r="O12" s="42" t="s">
        <v>109</v>
      </c>
      <c r="P12" s="42" t="s">
        <v>110</v>
      </c>
    </row>
    <row r="13" spans="1:16" ht="12.75" customHeight="1" thickBot="1" x14ac:dyDescent="0.25">
      <c r="A13" s="10" t="str">
        <f t="shared" si="0"/>
        <v> CPRI 13 </v>
      </c>
      <c r="B13" s="5" t="str">
        <f t="shared" si="1"/>
        <v>I</v>
      </c>
      <c r="C13" s="10">
        <f t="shared" si="2"/>
        <v>23724.46</v>
      </c>
      <c r="D13" s="13" t="str">
        <f t="shared" si="3"/>
        <v>vis</v>
      </c>
      <c r="E13" s="39">
        <f>VLOOKUP(C13,Active!C$21:E$973,3,FALSE)</f>
        <v>-418.03876790537083</v>
      </c>
      <c r="F13" s="5" t="s">
        <v>52</v>
      </c>
      <c r="G13" s="13" t="str">
        <f t="shared" si="4"/>
        <v>23724.46</v>
      </c>
      <c r="H13" s="10">
        <f t="shared" si="5"/>
        <v>-418</v>
      </c>
      <c r="I13" s="40" t="s">
        <v>124</v>
      </c>
      <c r="J13" s="41" t="s">
        <v>125</v>
      </c>
      <c r="K13" s="40">
        <v>-418</v>
      </c>
      <c r="L13" s="40" t="s">
        <v>126</v>
      </c>
      <c r="M13" s="41" t="s">
        <v>67</v>
      </c>
      <c r="N13" s="41"/>
      <c r="O13" s="42" t="s">
        <v>109</v>
      </c>
      <c r="P13" s="42" t="s">
        <v>110</v>
      </c>
    </row>
    <row r="14" spans="1:16" ht="12.75" customHeight="1" thickBot="1" x14ac:dyDescent="0.25">
      <c r="A14" s="10" t="str">
        <f t="shared" si="0"/>
        <v> CPRI 13 </v>
      </c>
      <c r="B14" s="5" t="str">
        <f t="shared" si="1"/>
        <v>I</v>
      </c>
      <c r="C14" s="10">
        <f t="shared" si="2"/>
        <v>25918.54</v>
      </c>
      <c r="D14" s="13" t="str">
        <f t="shared" si="3"/>
        <v>vis</v>
      </c>
      <c r="E14" s="39">
        <f>VLOOKUP(C14,Active!C$21:E$973,3,FALSE)</f>
        <v>-358.03179378482787</v>
      </c>
      <c r="F14" s="5" t="s">
        <v>52</v>
      </c>
      <c r="G14" s="13" t="str">
        <f t="shared" si="4"/>
        <v>25918.54</v>
      </c>
      <c r="H14" s="10">
        <f t="shared" si="5"/>
        <v>-358</v>
      </c>
      <c r="I14" s="40" t="s">
        <v>154</v>
      </c>
      <c r="J14" s="41" t="s">
        <v>155</v>
      </c>
      <c r="K14" s="40">
        <v>-358</v>
      </c>
      <c r="L14" s="40" t="s">
        <v>156</v>
      </c>
      <c r="M14" s="41" t="s">
        <v>67</v>
      </c>
      <c r="N14" s="41"/>
      <c r="O14" s="42" t="s">
        <v>109</v>
      </c>
      <c r="P14" s="42" t="s">
        <v>110</v>
      </c>
    </row>
    <row r="15" spans="1:16" ht="12.75" customHeight="1" thickBot="1" x14ac:dyDescent="0.25">
      <c r="A15" s="10" t="str">
        <f t="shared" si="0"/>
        <v>IBVS 1430 </v>
      </c>
      <c r="B15" s="5" t="str">
        <f t="shared" si="1"/>
        <v>I</v>
      </c>
      <c r="C15" s="10">
        <f t="shared" si="2"/>
        <v>30635.7</v>
      </c>
      <c r="D15" s="13" t="str">
        <f t="shared" si="3"/>
        <v>vis</v>
      </c>
      <c r="E15" s="39">
        <f>VLOOKUP(C15,Active!C$21:E$973,3,FALSE)</f>
        <v>-229.0198625688011</v>
      </c>
      <c r="F15" s="5" t="s">
        <v>52</v>
      </c>
      <c r="G15" s="13" t="str">
        <f t="shared" si="4"/>
        <v>30635.70</v>
      </c>
      <c r="H15" s="10">
        <f t="shared" si="5"/>
        <v>-229</v>
      </c>
      <c r="I15" s="40" t="s">
        <v>169</v>
      </c>
      <c r="J15" s="41" t="s">
        <v>170</v>
      </c>
      <c r="K15" s="40">
        <v>-229</v>
      </c>
      <c r="L15" s="40" t="s">
        <v>171</v>
      </c>
      <c r="M15" s="41" t="s">
        <v>54</v>
      </c>
      <c r="N15" s="41"/>
      <c r="O15" s="42" t="s">
        <v>172</v>
      </c>
      <c r="P15" s="43" t="s">
        <v>173</v>
      </c>
    </row>
    <row r="16" spans="1:16" ht="12.75" customHeight="1" thickBot="1" x14ac:dyDescent="0.25">
      <c r="A16" s="10" t="str">
        <f t="shared" si="0"/>
        <v>IBVS 1430 </v>
      </c>
      <c r="B16" s="5" t="str">
        <f t="shared" si="1"/>
        <v>I</v>
      </c>
      <c r="C16" s="10">
        <f t="shared" si="2"/>
        <v>31403.56</v>
      </c>
      <c r="D16" s="13" t="str">
        <f t="shared" si="3"/>
        <v>vis</v>
      </c>
      <c r="E16" s="39">
        <f>VLOOKUP(C16,Active!C$21:E$973,3,FALSE)</f>
        <v>-208.01928139208917</v>
      </c>
      <c r="F16" s="5" t="s">
        <v>52</v>
      </c>
      <c r="G16" s="13" t="str">
        <f t="shared" si="4"/>
        <v>31403.56</v>
      </c>
      <c r="H16" s="10">
        <f t="shared" si="5"/>
        <v>-208</v>
      </c>
      <c r="I16" s="40" t="s">
        <v>179</v>
      </c>
      <c r="J16" s="41" t="s">
        <v>180</v>
      </c>
      <c r="K16" s="40">
        <v>-208</v>
      </c>
      <c r="L16" s="40" t="s">
        <v>181</v>
      </c>
      <c r="M16" s="41" t="s">
        <v>54</v>
      </c>
      <c r="N16" s="41"/>
      <c r="O16" s="42" t="s">
        <v>172</v>
      </c>
      <c r="P16" s="43" t="s">
        <v>173</v>
      </c>
    </row>
    <row r="17" spans="1:16" ht="12.75" customHeight="1" thickBot="1" x14ac:dyDescent="0.25">
      <c r="A17" s="10" t="str">
        <f t="shared" si="0"/>
        <v>IBVS 1430 </v>
      </c>
      <c r="B17" s="5" t="str">
        <f t="shared" si="1"/>
        <v>I</v>
      </c>
      <c r="C17" s="10">
        <f t="shared" si="2"/>
        <v>32500.61</v>
      </c>
      <c r="D17" s="13" t="str">
        <f t="shared" si="3"/>
        <v>vis</v>
      </c>
      <c r="E17" s="39">
        <f>VLOOKUP(C17,Active!C$21:E$973,3,FALSE)</f>
        <v>-178.0155208368945</v>
      </c>
      <c r="F17" s="5" t="s">
        <v>52</v>
      </c>
      <c r="G17" s="13" t="str">
        <f t="shared" si="4"/>
        <v>32500.61</v>
      </c>
      <c r="H17" s="10">
        <f t="shared" si="5"/>
        <v>-178</v>
      </c>
      <c r="I17" s="40" t="s">
        <v>182</v>
      </c>
      <c r="J17" s="41" t="s">
        <v>183</v>
      </c>
      <c r="K17" s="40">
        <v>-178</v>
      </c>
      <c r="L17" s="40" t="s">
        <v>184</v>
      </c>
      <c r="M17" s="41" t="s">
        <v>54</v>
      </c>
      <c r="N17" s="41"/>
      <c r="O17" s="42" t="s">
        <v>172</v>
      </c>
      <c r="P17" s="43" t="s">
        <v>173</v>
      </c>
    </row>
    <row r="18" spans="1:16" ht="12.75" customHeight="1" thickBot="1" x14ac:dyDescent="0.25">
      <c r="A18" s="10" t="str">
        <f t="shared" si="0"/>
        <v>IBVS 1430 </v>
      </c>
      <c r="B18" s="5" t="str">
        <f t="shared" si="1"/>
        <v>I</v>
      </c>
      <c r="C18" s="10">
        <f t="shared" si="2"/>
        <v>33158.78</v>
      </c>
      <c r="D18" s="13" t="str">
        <f t="shared" si="3"/>
        <v>vis</v>
      </c>
      <c r="E18" s="39">
        <f>VLOOKUP(C18,Active!C$21:E$973,3,FALSE)</f>
        <v>-160.01490547331724</v>
      </c>
      <c r="F18" s="5" t="s">
        <v>52</v>
      </c>
      <c r="G18" s="13" t="str">
        <f t="shared" si="4"/>
        <v>33158.78</v>
      </c>
      <c r="H18" s="10">
        <f t="shared" si="5"/>
        <v>-160</v>
      </c>
      <c r="I18" s="40" t="s">
        <v>185</v>
      </c>
      <c r="J18" s="41" t="s">
        <v>186</v>
      </c>
      <c r="K18" s="40">
        <v>-160</v>
      </c>
      <c r="L18" s="40" t="s">
        <v>187</v>
      </c>
      <c r="M18" s="41" t="s">
        <v>54</v>
      </c>
      <c r="N18" s="41"/>
      <c r="O18" s="42" t="s">
        <v>172</v>
      </c>
      <c r="P18" s="43" t="s">
        <v>173</v>
      </c>
    </row>
    <row r="19" spans="1:16" ht="12.75" customHeight="1" thickBot="1" x14ac:dyDescent="0.25">
      <c r="A19" s="10" t="str">
        <f t="shared" si="0"/>
        <v>IBVS 1430 </v>
      </c>
      <c r="B19" s="5" t="str">
        <f t="shared" si="1"/>
        <v>I</v>
      </c>
      <c r="C19" s="10">
        <f t="shared" si="2"/>
        <v>33195.33</v>
      </c>
      <c r="D19" s="13" t="str">
        <f t="shared" si="3"/>
        <v>vis</v>
      </c>
      <c r="E19" s="39">
        <f>VLOOKUP(C19,Active!C$21:E$973,3,FALSE)</f>
        <v>-159.01528152883662</v>
      </c>
      <c r="F19" s="5" t="s">
        <v>52</v>
      </c>
      <c r="G19" s="13" t="str">
        <f t="shared" si="4"/>
        <v>33195.33</v>
      </c>
      <c r="H19" s="10">
        <f t="shared" si="5"/>
        <v>-159</v>
      </c>
      <c r="I19" s="40" t="s">
        <v>188</v>
      </c>
      <c r="J19" s="41" t="s">
        <v>189</v>
      </c>
      <c r="K19" s="40">
        <v>-159</v>
      </c>
      <c r="L19" s="40" t="s">
        <v>190</v>
      </c>
      <c r="M19" s="41" t="s">
        <v>54</v>
      </c>
      <c r="N19" s="41"/>
      <c r="O19" s="42" t="s">
        <v>172</v>
      </c>
      <c r="P19" s="43" t="s">
        <v>173</v>
      </c>
    </row>
    <row r="20" spans="1:16" ht="12.75" customHeight="1" thickBot="1" x14ac:dyDescent="0.25">
      <c r="A20" s="10" t="str">
        <f t="shared" si="0"/>
        <v>IBVS 1430 </v>
      </c>
      <c r="B20" s="5" t="str">
        <f t="shared" si="1"/>
        <v>I</v>
      </c>
      <c r="C20" s="10">
        <f t="shared" si="2"/>
        <v>33597.629999999997</v>
      </c>
      <c r="D20" s="13" t="str">
        <f t="shared" si="3"/>
        <v>vis</v>
      </c>
      <c r="E20" s="39">
        <f>VLOOKUP(C20,Active!C$21:E$973,3,FALSE)</f>
        <v>-148.01258076646963</v>
      </c>
      <c r="F20" s="5" t="s">
        <v>52</v>
      </c>
      <c r="G20" s="13" t="str">
        <f t="shared" si="4"/>
        <v>33597.63</v>
      </c>
      <c r="H20" s="10">
        <f t="shared" si="5"/>
        <v>-148</v>
      </c>
      <c r="I20" s="40" t="s">
        <v>191</v>
      </c>
      <c r="J20" s="41" t="s">
        <v>192</v>
      </c>
      <c r="K20" s="40">
        <v>-148</v>
      </c>
      <c r="L20" s="40" t="s">
        <v>193</v>
      </c>
      <c r="M20" s="41" t="s">
        <v>54</v>
      </c>
      <c r="N20" s="41"/>
      <c r="O20" s="42" t="s">
        <v>172</v>
      </c>
      <c r="P20" s="43" t="s">
        <v>173</v>
      </c>
    </row>
    <row r="21" spans="1:16" ht="12.75" customHeight="1" thickBot="1" x14ac:dyDescent="0.25">
      <c r="A21" s="10" t="str">
        <f t="shared" si="0"/>
        <v>IBVS 1430 </v>
      </c>
      <c r="B21" s="5" t="str">
        <f t="shared" si="1"/>
        <v>I</v>
      </c>
      <c r="C21" s="10">
        <f t="shared" si="2"/>
        <v>34036.35</v>
      </c>
      <c r="D21" s="13" t="str">
        <f t="shared" si="3"/>
        <v>vis</v>
      </c>
      <c r="E21" s="39">
        <f>VLOOKUP(C21,Active!C$21:E$973,3,FALSE)</f>
        <v>-136.01381149362425</v>
      </c>
      <c r="F21" s="5" t="s">
        <v>52</v>
      </c>
      <c r="G21" s="13" t="str">
        <f t="shared" si="4"/>
        <v>34036.35</v>
      </c>
      <c r="H21" s="10">
        <f t="shared" si="5"/>
        <v>-136</v>
      </c>
      <c r="I21" s="40" t="s">
        <v>199</v>
      </c>
      <c r="J21" s="41" t="s">
        <v>200</v>
      </c>
      <c r="K21" s="40">
        <v>-136</v>
      </c>
      <c r="L21" s="40" t="s">
        <v>201</v>
      </c>
      <c r="M21" s="41" t="s">
        <v>54</v>
      </c>
      <c r="N21" s="41"/>
      <c r="O21" s="42" t="s">
        <v>172</v>
      </c>
      <c r="P21" s="43" t="s">
        <v>173</v>
      </c>
    </row>
    <row r="22" spans="1:16" ht="12.75" customHeight="1" thickBot="1" x14ac:dyDescent="0.25">
      <c r="A22" s="10" t="str">
        <f t="shared" si="0"/>
        <v>IBVS 1430 </v>
      </c>
      <c r="B22" s="5" t="str">
        <f t="shared" si="1"/>
        <v>I</v>
      </c>
      <c r="C22" s="10">
        <f t="shared" si="2"/>
        <v>34292.29</v>
      </c>
      <c r="D22" s="13" t="str">
        <f t="shared" si="3"/>
        <v>vis</v>
      </c>
      <c r="E22" s="39">
        <f>VLOOKUP(C22,Active!C$21:E$973,3,FALSE)</f>
        <v>-129.01398242795119</v>
      </c>
      <c r="F22" s="5" t="s">
        <v>52</v>
      </c>
      <c r="G22" s="13" t="str">
        <f t="shared" si="4"/>
        <v>34292.29</v>
      </c>
      <c r="H22" s="10">
        <f t="shared" si="5"/>
        <v>-129</v>
      </c>
      <c r="I22" s="40" t="s">
        <v>202</v>
      </c>
      <c r="J22" s="41" t="s">
        <v>203</v>
      </c>
      <c r="K22" s="40">
        <v>-129</v>
      </c>
      <c r="L22" s="40" t="s">
        <v>204</v>
      </c>
      <c r="M22" s="41" t="s">
        <v>54</v>
      </c>
      <c r="N22" s="41"/>
      <c r="O22" s="42" t="s">
        <v>172</v>
      </c>
      <c r="P22" s="43" t="s">
        <v>173</v>
      </c>
    </row>
    <row r="23" spans="1:16" ht="12.75" customHeight="1" thickBot="1" x14ac:dyDescent="0.25">
      <c r="A23" s="10" t="str">
        <f t="shared" si="0"/>
        <v>IBVS 1430 </v>
      </c>
      <c r="B23" s="5" t="str">
        <f t="shared" si="1"/>
        <v>I</v>
      </c>
      <c r="C23" s="10">
        <f t="shared" si="2"/>
        <v>35754.980000000003</v>
      </c>
      <c r="D23" s="13" t="str">
        <f t="shared" si="3"/>
        <v>vis</v>
      </c>
      <c r="E23" s="39">
        <f>VLOOKUP(C23,Active!C$21:E$973,3,FALSE)</f>
        <v>-89.010153499025634</v>
      </c>
      <c r="F23" s="5" t="s">
        <v>52</v>
      </c>
      <c r="G23" s="13" t="str">
        <f t="shared" si="4"/>
        <v>35754.98</v>
      </c>
      <c r="H23" s="10">
        <f t="shared" si="5"/>
        <v>-89</v>
      </c>
      <c r="I23" s="40" t="s">
        <v>217</v>
      </c>
      <c r="J23" s="41" t="s">
        <v>218</v>
      </c>
      <c r="K23" s="40">
        <v>-89</v>
      </c>
      <c r="L23" s="40" t="s">
        <v>219</v>
      </c>
      <c r="M23" s="41" t="s">
        <v>54</v>
      </c>
      <c r="N23" s="41"/>
      <c r="O23" s="42" t="s">
        <v>172</v>
      </c>
      <c r="P23" s="43" t="s">
        <v>173</v>
      </c>
    </row>
    <row r="24" spans="1:16" ht="12.75" customHeight="1" thickBot="1" x14ac:dyDescent="0.25">
      <c r="A24" s="10" t="str">
        <f t="shared" si="0"/>
        <v>IBVS 1430 </v>
      </c>
      <c r="B24" s="5" t="str">
        <f t="shared" si="1"/>
        <v>I</v>
      </c>
      <c r="C24" s="10">
        <f t="shared" si="2"/>
        <v>36047.449999999997</v>
      </c>
      <c r="D24" s="13" t="str">
        <f t="shared" si="3"/>
        <v>vis</v>
      </c>
      <c r="E24" s="39">
        <f>VLOOKUP(C24,Active!C$21:E$973,3,FALSE)</f>
        <v>-81.011247478718801</v>
      </c>
      <c r="F24" s="5" t="s">
        <v>52</v>
      </c>
      <c r="G24" s="13" t="str">
        <f t="shared" si="4"/>
        <v>36047.45</v>
      </c>
      <c r="H24" s="10">
        <f t="shared" si="5"/>
        <v>-81</v>
      </c>
      <c r="I24" s="40" t="s">
        <v>220</v>
      </c>
      <c r="J24" s="41" t="s">
        <v>221</v>
      </c>
      <c r="K24" s="40">
        <v>-81</v>
      </c>
      <c r="L24" s="40" t="s">
        <v>222</v>
      </c>
      <c r="M24" s="41" t="s">
        <v>54</v>
      </c>
      <c r="N24" s="41"/>
      <c r="O24" s="42" t="s">
        <v>172</v>
      </c>
      <c r="P24" s="43" t="s">
        <v>173</v>
      </c>
    </row>
    <row r="25" spans="1:16" ht="12.75" customHeight="1" thickBot="1" x14ac:dyDescent="0.25">
      <c r="A25" s="10" t="str">
        <f t="shared" si="0"/>
        <v>IBVS 1430 </v>
      </c>
      <c r="B25" s="5" t="str">
        <f t="shared" si="1"/>
        <v>I</v>
      </c>
      <c r="C25" s="10">
        <f t="shared" si="2"/>
        <v>36193.83</v>
      </c>
      <c r="D25" s="13" t="str">
        <f t="shared" si="3"/>
        <v>vis</v>
      </c>
      <c r="E25" s="39">
        <f>VLOOKUP(C25,Active!C$21:E$973,3,FALSE)</f>
        <v>-77.007828792178046</v>
      </c>
      <c r="F25" s="5" t="s">
        <v>52</v>
      </c>
      <c r="G25" s="13" t="str">
        <f t="shared" si="4"/>
        <v>36193.83</v>
      </c>
      <c r="H25" s="10">
        <f t="shared" si="5"/>
        <v>-77</v>
      </c>
      <c r="I25" s="40" t="s">
        <v>223</v>
      </c>
      <c r="J25" s="41" t="s">
        <v>224</v>
      </c>
      <c r="K25" s="40">
        <v>-77</v>
      </c>
      <c r="L25" s="40" t="s">
        <v>225</v>
      </c>
      <c r="M25" s="41" t="s">
        <v>54</v>
      </c>
      <c r="N25" s="41"/>
      <c r="O25" s="42" t="s">
        <v>172</v>
      </c>
      <c r="P25" s="43" t="s">
        <v>173</v>
      </c>
    </row>
    <row r="26" spans="1:16" ht="12.75" customHeight="1" thickBot="1" x14ac:dyDescent="0.25">
      <c r="A26" s="10" t="str">
        <f t="shared" si="0"/>
        <v>IBVS 1430 </v>
      </c>
      <c r="B26" s="5" t="str">
        <f t="shared" si="1"/>
        <v>I</v>
      </c>
      <c r="C26" s="10">
        <f t="shared" si="2"/>
        <v>36779</v>
      </c>
      <c r="D26" s="13" t="str">
        <f t="shared" si="3"/>
        <v>vis</v>
      </c>
      <c r="E26" s="39">
        <f>VLOOKUP(C26,Active!C$21:E$973,3,FALSE)</f>
        <v>-61.003726368329332</v>
      </c>
      <c r="F26" s="5" t="s">
        <v>52</v>
      </c>
      <c r="G26" s="13" t="str">
        <f t="shared" si="4"/>
        <v>36779.00</v>
      </c>
      <c r="H26" s="10">
        <f t="shared" si="5"/>
        <v>-61</v>
      </c>
      <c r="I26" s="40" t="s">
        <v>226</v>
      </c>
      <c r="J26" s="41" t="s">
        <v>227</v>
      </c>
      <c r="K26" s="40">
        <v>-61</v>
      </c>
      <c r="L26" s="40" t="s">
        <v>228</v>
      </c>
      <c r="M26" s="41" t="s">
        <v>54</v>
      </c>
      <c r="N26" s="41"/>
      <c r="O26" s="42" t="s">
        <v>172</v>
      </c>
      <c r="P26" s="43" t="s">
        <v>173</v>
      </c>
    </row>
    <row r="27" spans="1:16" ht="12.75" customHeight="1" thickBot="1" x14ac:dyDescent="0.25">
      <c r="A27" s="10" t="str">
        <f t="shared" si="0"/>
        <v>IBVS 1430 </v>
      </c>
      <c r="B27" s="5" t="str">
        <f t="shared" si="1"/>
        <v>I</v>
      </c>
      <c r="C27" s="10">
        <f t="shared" si="2"/>
        <v>37217.730000000003</v>
      </c>
      <c r="D27" s="13" t="str">
        <f t="shared" si="3"/>
        <v>vis</v>
      </c>
      <c r="E27" s="39">
        <f>VLOOKUP(C27,Active!C$21:E$973,3,FALSE)</f>
        <v>-49.004683600560618</v>
      </c>
      <c r="F27" s="5" t="s">
        <v>52</v>
      </c>
      <c r="G27" s="13" t="str">
        <f t="shared" si="4"/>
        <v>37217.73</v>
      </c>
      <c r="H27" s="10">
        <f t="shared" si="5"/>
        <v>-49</v>
      </c>
      <c r="I27" s="40" t="s">
        <v>229</v>
      </c>
      <c r="J27" s="41" t="s">
        <v>230</v>
      </c>
      <c r="K27" s="40">
        <v>-49</v>
      </c>
      <c r="L27" s="40" t="s">
        <v>231</v>
      </c>
      <c r="M27" s="41" t="s">
        <v>54</v>
      </c>
      <c r="N27" s="41"/>
      <c r="O27" s="42" t="s">
        <v>172</v>
      </c>
      <c r="P27" s="43" t="s">
        <v>173</v>
      </c>
    </row>
    <row r="28" spans="1:16" ht="12.75" customHeight="1" thickBot="1" x14ac:dyDescent="0.25">
      <c r="A28" s="10" t="str">
        <f t="shared" si="0"/>
        <v>BAVM 132 </v>
      </c>
      <c r="B28" s="5" t="str">
        <f t="shared" si="1"/>
        <v>II</v>
      </c>
      <c r="C28" s="10">
        <f t="shared" si="2"/>
        <v>51387.497000000003</v>
      </c>
      <c r="D28" s="13" t="str">
        <f t="shared" si="3"/>
        <v>PE</v>
      </c>
      <c r="E28" s="39">
        <f>VLOOKUP(C28,Active!C$21:E$973,3,FALSE)</f>
        <v>338.53125021366799</v>
      </c>
      <c r="F28" s="5" t="str">
        <f>LEFT(M28,1)</f>
        <v>E</v>
      </c>
      <c r="G28" s="13" t="str">
        <f t="shared" si="4"/>
        <v>51387.497</v>
      </c>
      <c r="H28" s="10">
        <f t="shared" si="5"/>
        <v>338.5</v>
      </c>
      <c r="I28" s="40" t="s">
        <v>290</v>
      </c>
      <c r="J28" s="41" t="s">
        <v>291</v>
      </c>
      <c r="K28" s="40">
        <v>338.5</v>
      </c>
      <c r="L28" s="40" t="s">
        <v>292</v>
      </c>
      <c r="M28" s="41" t="s">
        <v>235</v>
      </c>
      <c r="N28" s="41" t="s">
        <v>293</v>
      </c>
      <c r="O28" s="42" t="s">
        <v>294</v>
      </c>
      <c r="P28" s="43" t="s">
        <v>295</v>
      </c>
    </row>
    <row r="29" spans="1:16" ht="12.75" customHeight="1" thickBot="1" x14ac:dyDescent="0.25">
      <c r="A29" s="10" t="str">
        <f t="shared" si="0"/>
        <v> AN 176.218 </v>
      </c>
      <c r="B29" s="5" t="str">
        <f t="shared" si="1"/>
        <v>I</v>
      </c>
      <c r="C29" s="10">
        <f t="shared" si="2"/>
        <v>17471.099999999999</v>
      </c>
      <c r="D29" s="13" t="str">
        <f t="shared" si="3"/>
        <v>vis</v>
      </c>
      <c r="E29" s="39">
        <f>VLOOKUP(C29,Active!C$21:E$973,3,FALSE)</f>
        <v>-589.06498923113747</v>
      </c>
      <c r="F29" s="5" t="s">
        <v>52</v>
      </c>
      <c r="G29" s="13" t="str">
        <f t="shared" si="4"/>
        <v>17471.1</v>
      </c>
      <c r="H29" s="10">
        <f t="shared" si="5"/>
        <v>-589</v>
      </c>
      <c r="I29" s="40" t="s">
        <v>55</v>
      </c>
      <c r="J29" s="41" t="s">
        <v>56</v>
      </c>
      <c r="K29" s="40">
        <v>-589</v>
      </c>
      <c r="L29" s="40" t="s">
        <v>57</v>
      </c>
      <c r="M29" s="41" t="s">
        <v>58</v>
      </c>
      <c r="N29" s="41"/>
      <c r="O29" s="42" t="s">
        <v>59</v>
      </c>
      <c r="P29" s="42" t="s">
        <v>60</v>
      </c>
    </row>
    <row r="30" spans="1:16" ht="12.75" customHeight="1" thickBot="1" x14ac:dyDescent="0.25">
      <c r="A30" s="10" t="str">
        <f t="shared" si="0"/>
        <v> AN 176.218 </v>
      </c>
      <c r="B30" s="5" t="str">
        <f t="shared" si="1"/>
        <v>I</v>
      </c>
      <c r="C30" s="10">
        <f t="shared" si="2"/>
        <v>17800.3</v>
      </c>
      <c r="D30" s="13" t="str">
        <f t="shared" si="3"/>
        <v>vis</v>
      </c>
      <c r="E30" s="39">
        <f>VLOOKUP(C30,Active!C$21:E$973,3,FALSE)</f>
        <v>-580.06153635773148</v>
      </c>
      <c r="F30" s="5" t="s">
        <v>52</v>
      </c>
      <c r="G30" s="13" t="str">
        <f t="shared" si="4"/>
        <v>17800.3</v>
      </c>
      <c r="H30" s="10">
        <f t="shared" si="5"/>
        <v>-580</v>
      </c>
      <c r="I30" s="40" t="s">
        <v>61</v>
      </c>
      <c r="J30" s="41" t="s">
        <v>62</v>
      </c>
      <c r="K30" s="40">
        <v>-580</v>
      </c>
      <c r="L30" s="40" t="s">
        <v>63</v>
      </c>
      <c r="M30" s="41" t="s">
        <v>58</v>
      </c>
      <c r="N30" s="41"/>
      <c r="O30" s="42" t="s">
        <v>59</v>
      </c>
      <c r="P30" s="42" t="s">
        <v>60</v>
      </c>
    </row>
    <row r="31" spans="1:16" ht="12.75" customHeight="1" thickBot="1" x14ac:dyDescent="0.25">
      <c r="A31" s="10" t="str">
        <f t="shared" si="0"/>
        <v> AN 178.136 </v>
      </c>
      <c r="B31" s="5" t="str">
        <f t="shared" si="1"/>
        <v>I</v>
      </c>
      <c r="C31" s="10">
        <f t="shared" si="2"/>
        <v>17873.7</v>
      </c>
      <c r="D31" s="13" t="str">
        <f t="shared" si="3"/>
        <v>vis</v>
      </c>
      <c r="E31" s="39">
        <f>VLOOKUP(C31,Active!C$21:E$973,3,FALSE)</f>
        <v>-578.05408362107278</v>
      </c>
      <c r="F31" s="5" t="s">
        <v>52</v>
      </c>
      <c r="G31" s="13" t="str">
        <f t="shared" si="4"/>
        <v>17873.7</v>
      </c>
      <c r="H31" s="10">
        <f t="shared" si="5"/>
        <v>-578</v>
      </c>
      <c r="I31" s="40" t="s">
        <v>64</v>
      </c>
      <c r="J31" s="41" t="s">
        <v>65</v>
      </c>
      <c r="K31" s="40">
        <v>-578</v>
      </c>
      <c r="L31" s="40" t="s">
        <v>66</v>
      </c>
      <c r="M31" s="41" t="s">
        <v>67</v>
      </c>
      <c r="N31" s="41"/>
      <c r="O31" s="42" t="s">
        <v>68</v>
      </c>
      <c r="P31" s="42" t="s">
        <v>69</v>
      </c>
    </row>
    <row r="32" spans="1:16" ht="12.75" customHeight="1" thickBot="1" x14ac:dyDescent="0.25">
      <c r="A32" s="10" t="str">
        <f t="shared" si="0"/>
        <v> CPRI 13.2 </v>
      </c>
      <c r="B32" s="5" t="str">
        <f t="shared" si="1"/>
        <v>I</v>
      </c>
      <c r="C32" s="10">
        <f t="shared" si="2"/>
        <v>17910.099999999999</v>
      </c>
      <c r="D32" s="13" t="str">
        <f t="shared" si="3"/>
        <v>vis</v>
      </c>
      <c r="E32" s="39">
        <f>VLOOKUP(C32,Active!C$21:E$973,3,FALSE)</f>
        <v>-577.05856210044112</v>
      </c>
      <c r="F32" s="5" t="s">
        <v>52</v>
      </c>
      <c r="G32" s="13" t="str">
        <f t="shared" si="4"/>
        <v>17910.1</v>
      </c>
      <c r="H32" s="10">
        <f t="shared" si="5"/>
        <v>-577</v>
      </c>
      <c r="I32" s="40" t="s">
        <v>70</v>
      </c>
      <c r="J32" s="41" t="s">
        <v>71</v>
      </c>
      <c r="K32" s="40">
        <v>-577</v>
      </c>
      <c r="L32" s="40" t="s">
        <v>72</v>
      </c>
      <c r="M32" s="41" t="s">
        <v>67</v>
      </c>
      <c r="N32" s="41"/>
      <c r="O32" s="42" t="s">
        <v>73</v>
      </c>
      <c r="P32" s="42" t="s">
        <v>74</v>
      </c>
    </row>
    <row r="33" spans="1:16" ht="12.75" customHeight="1" thickBot="1" x14ac:dyDescent="0.25">
      <c r="A33" s="10" t="str">
        <f t="shared" si="0"/>
        <v> CPRI 13.2 </v>
      </c>
      <c r="B33" s="5" t="str">
        <f t="shared" si="1"/>
        <v>I</v>
      </c>
      <c r="C33" s="10">
        <f t="shared" si="2"/>
        <v>17946.900000000001</v>
      </c>
      <c r="D33" s="13" t="str">
        <f t="shared" si="3"/>
        <v>vis</v>
      </c>
      <c r="E33" s="39">
        <f>VLOOKUP(C33,Active!C$21:E$973,3,FALSE)</f>
        <v>-576.05210078287928</v>
      </c>
      <c r="F33" s="5" t="s">
        <v>52</v>
      </c>
      <c r="G33" s="13" t="str">
        <f t="shared" si="4"/>
        <v>17946.9</v>
      </c>
      <c r="H33" s="10">
        <f t="shared" si="5"/>
        <v>-576</v>
      </c>
      <c r="I33" s="40" t="s">
        <v>75</v>
      </c>
      <c r="J33" s="41" t="s">
        <v>76</v>
      </c>
      <c r="K33" s="40">
        <v>-576</v>
      </c>
      <c r="L33" s="40" t="s">
        <v>77</v>
      </c>
      <c r="M33" s="41" t="s">
        <v>67</v>
      </c>
      <c r="N33" s="41"/>
      <c r="O33" s="42" t="s">
        <v>73</v>
      </c>
      <c r="P33" s="42" t="s">
        <v>74</v>
      </c>
    </row>
    <row r="34" spans="1:16" ht="12.75" customHeight="1" thickBot="1" x14ac:dyDescent="0.25">
      <c r="A34" s="10" t="str">
        <f t="shared" si="0"/>
        <v> AN 171.172 </v>
      </c>
      <c r="B34" s="5" t="str">
        <f t="shared" si="1"/>
        <v>I</v>
      </c>
      <c r="C34" s="10">
        <f t="shared" si="2"/>
        <v>17983.400000000001</v>
      </c>
      <c r="D34" s="13" t="str">
        <f t="shared" si="3"/>
        <v>vis</v>
      </c>
      <c r="E34" s="39">
        <f>VLOOKUP(C34,Active!C$21:E$973,3,FALSE)</f>
        <v>-575.05384431301491</v>
      </c>
      <c r="F34" s="5" t="s">
        <v>52</v>
      </c>
      <c r="G34" s="13" t="str">
        <f t="shared" si="4"/>
        <v>17983.4</v>
      </c>
      <c r="H34" s="10">
        <f t="shared" si="5"/>
        <v>-575</v>
      </c>
      <c r="I34" s="40" t="s">
        <v>78</v>
      </c>
      <c r="J34" s="41" t="s">
        <v>79</v>
      </c>
      <c r="K34" s="40">
        <v>-575</v>
      </c>
      <c r="L34" s="40" t="s">
        <v>66</v>
      </c>
      <c r="M34" s="41" t="s">
        <v>67</v>
      </c>
      <c r="N34" s="41"/>
      <c r="O34" s="42" t="s">
        <v>80</v>
      </c>
      <c r="P34" s="42" t="s">
        <v>81</v>
      </c>
    </row>
    <row r="35" spans="1:16" ht="12.75" customHeight="1" thickBot="1" x14ac:dyDescent="0.25">
      <c r="A35" s="10" t="str">
        <f t="shared" si="0"/>
        <v> CPRI 13.2 </v>
      </c>
      <c r="B35" s="5" t="str">
        <f t="shared" si="1"/>
        <v>I</v>
      </c>
      <c r="C35" s="10">
        <f t="shared" si="2"/>
        <v>17983.599999999999</v>
      </c>
      <c r="D35" s="13" t="str">
        <f t="shared" si="3"/>
        <v>vis</v>
      </c>
      <c r="E35" s="39">
        <f>VLOOKUP(C35,Active!C$21:E$973,3,FALSE)</f>
        <v>-575.04837441455004</v>
      </c>
      <c r="F35" s="5" t="s">
        <v>52</v>
      </c>
      <c r="G35" s="13" t="str">
        <f t="shared" si="4"/>
        <v>17983.6</v>
      </c>
      <c r="H35" s="10">
        <f t="shared" si="5"/>
        <v>-575</v>
      </c>
      <c r="I35" s="40" t="s">
        <v>82</v>
      </c>
      <c r="J35" s="41" t="s">
        <v>83</v>
      </c>
      <c r="K35" s="40">
        <v>-575</v>
      </c>
      <c r="L35" s="40" t="s">
        <v>84</v>
      </c>
      <c r="M35" s="41" t="s">
        <v>67</v>
      </c>
      <c r="N35" s="41"/>
      <c r="O35" s="42" t="s">
        <v>73</v>
      </c>
      <c r="P35" s="42" t="s">
        <v>74</v>
      </c>
    </row>
    <row r="36" spans="1:16" ht="12.75" customHeight="1" thickBot="1" x14ac:dyDescent="0.25">
      <c r="A36" s="10" t="str">
        <f t="shared" si="0"/>
        <v> AN 178.136 </v>
      </c>
      <c r="B36" s="5" t="str">
        <f t="shared" si="1"/>
        <v>I</v>
      </c>
      <c r="C36" s="10">
        <f t="shared" si="2"/>
        <v>18019.900000000001</v>
      </c>
      <c r="D36" s="13" t="str">
        <f t="shared" si="3"/>
        <v>vis</v>
      </c>
      <c r="E36" s="39">
        <f>VLOOKUP(C36,Active!C$21:E$973,3,FALSE)</f>
        <v>-574.05558784315065</v>
      </c>
      <c r="F36" s="5" t="s">
        <v>52</v>
      </c>
      <c r="G36" s="13" t="str">
        <f t="shared" si="4"/>
        <v>18019.9</v>
      </c>
      <c r="H36" s="10">
        <f t="shared" si="5"/>
        <v>-574</v>
      </c>
      <c r="I36" s="40" t="s">
        <v>85</v>
      </c>
      <c r="J36" s="41" t="s">
        <v>86</v>
      </c>
      <c r="K36" s="40">
        <v>-574</v>
      </c>
      <c r="L36" s="40" t="s">
        <v>66</v>
      </c>
      <c r="M36" s="41" t="s">
        <v>67</v>
      </c>
      <c r="N36" s="41"/>
      <c r="O36" s="42" t="s">
        <v>68</v>
      </c>
      <c r="P36" s="42" t="s">
        <v>69</v>
      </c>
    </row>
    <row r="37" spans="1:16" ht="12.75" customHeight="1" thickBot="1" x14ac:dyDescent="0.25">
      <c r="A37" s="10" t="str">
        <f t="shared" si="0"/>
        <v> CPRI 13.2 </v>
      </c>
      <c r="B37" s="5" t="str">
        <f t="shared" si="1"/>
        <v>I</v>
      </c>
      <c r="C37" s="10">
        <f t="shared" si="2"/>
        <v>18020</v>
      </c>
      <c r="D37" s="13" t="str">
        <f t="shared" si="3"/>
        <v>vis</v>
      </c>
      <c r="E37" s="39">
        <f>VLOOKUP(C37,Active!C$21:E$973,3,FALSE)</f>
        <v>-574.05285289391827</v>
      </c>
      <c r="F37" s="5" t="s">
        <v>52</v>
      </c>
      <c r="G37" s="13" t="str">
        <f t="shared" si="4"/>
        <v>18020.0</v>
      </c>
      <c r="H37" s="10">
        <f t="shared" si="5"/>
        <v>-574</v>
      </c>
      <c r="I37" s="40" t="s">
        <v>87</v>
      </c>
      <c r="J37" s="41" t="s">
        <v>88</v>
      </c>
      <c r="K37" s="40">
        <v>-574</v>
      </c>
      <c r="L37" s="40" t="s">
        <v>77</v>
      </c>
      <c r="M37" s="41" t="s">
        <v>67</v>
      </c>
      <c r="N37" s="41"/>
      <c r="O37" s="42" t="s">
        <v>73</v>
      </c>
      <c r="P37" s="42" t="s">
        <v>74</v>
      </c>
    </row>
    <row r="38" spans="1:16" ht="12.75" customHeight="1" thickBot="1" x14ac:dyDescent="0.25">
      <c r="A38" s="10" t="str">
        <f t="shared" si="0"/>
        <v> CPRI 13.2 </v>
      </c>
      <c r="B38" s="5" t="str">
        <f t="shared" si="1"/>
        <v>I</v>
      </c>
      <c r="C38" s="10">
        <f t="shared" si="2"/>
        <v>18202.5</v>
      </c>
      <c r="D38" s="13" t="str">
        <f t="shared" si="3"/>
        <v>vis</v>
      </c>
      <c r="E38" s="39">
        <f>VLOOKUP(C38,Active!C$21:E$973,3,FALSE)</f>
        <v>-569.06157054459686</v>
      </c>
      <c r="F38" s="5" t="s">
        <v>52</v>
      </c>
      <c r="G38" s="13" t="str">
        <f t="shared" si="4"/>
        <v>18202.5</v>
      </c>
      <c r="H38" s="10">
        <f t="shared" si="5"/>
        <v>-569</v>
      </c>
      <c r="I38" s="40" t="s">
        <v>89</v>
      </c>
      <c r="J38" s="41" t="s">
        <v>90</v>
      </c>
      <c r="K38" s="40">
        <v>-569</v>
      </c>
      <c r="L38" s="40" t="s">
        <v>91</v>
      </c>
      <c r="M38" s="41" t="s">
        <v>67</v>
      </c>
      <c r="N38" s="41"/>
      <c r="O38" s="42" t="s">
        <v>80</v>
      </c>
      <c r="P38" s="42" t="s">
        <v>74</v>
      </c>
    </row>
    <row r="39" spans="1:16" ht="12.75" customHeight="1" thickBot="1" x14ac:dyDescent="0.25">
      <c r="A39" s="10" t="str">
        <f t="shared" si="0"/>
        <v> CPRI 13.2 </v>
      </c>
      <c r="B39" s="5" t="str">
        <f t="shared" si="1"/>
        <v>I</v>
      </c>
      <c r="C39" s="10">
        <f t="shared" si="2"/>
        <v>18239.3</v>
      </c>
      <c r="D39" s="13" t="str">
        <f t="shared" si="3"/>
        <v>vis</v>
      </c>
      <c r="E39" s="39">
        <f>VLOOKUP(C39,Active!C$21:E$973,3,FALSE)</f>
        <v>-568.05510922703502</v>
      </c>
      <c r="F39" s="5" t="s">
        <v>52</v>
      </c>
      <c r="G39" s="13" t="str">
        <f t="shared" si="4"/>
        <v>18239.3</v>
      </c>
      <c r="H39" s="10">
        <f t="shared" si="5"/>
        <v>-568</v>
      </c>
      <c r="I39" s="40" t="s">
        <v>92</v>
      </c>
      <c r="J39" s="41" t="s">
        <v>93</v>
      </c>
      <c r="K39" s="40">
        <v>-568</v>
      </c>
      <c r="L39" s="40" t="s">
        <v>66</v>
      </c>
      <c r="M39" s="41" t="s">
        <v>67</v>
      </c>
      <c r="N39" s="41"/>
      <c r="O39" s="42" t="s">
        <v>73</v>
      </c>
      <c r="P39" s="42" t="s">
        <v>74</v>
      </c>
    </row>
    <row r="40" spans="1:16" ht="12.75" customHeight="1" thickBot="1" x14ac:dyDescent="0.25">
      <c r="A40" s="10" t="str">
        <f t="shared" si="0"/>
        <v> CPRI 13.2 </v>
      </c>
      <c r="B40" s="5" t="str">
        <f t="shared" si="1"/>
        <v>I</v>
      </c>
      <c r="C40" s="10">
        <f t="shared" si="2"/>
        <v>18275.900000000001</v>
      </c>
      <c r="D40" s="13" t="str">
        <f t="shared" si="3"/>
        <v>vis</v>
      </c>
      <c r="E40" s="39">
        <f>VLOOKUP(C40,Active!C$21:E$973,3,FALSE)</f>
        <v>-567.05411780793816</v>
      </c>
      <c r="F40" s="5" t="s">
        <v>52</v>
      </c>
      <c r="G40" s="13" t="str">
        <f t="shared" si="4"/>
        <v>18275.9</v>
      </c>
      <c r="H40" s="10">
        <f t="shared" si="5"/>
        <v>-567</v>
      </c>
      <c r="I40" s="40" t="s">
        <v>94</v>
      </c>
      <c r="J40" s="41" t="s">
        <v>95</v>
      </c>
      <c r="K40" s="40">
        <v>-567</v>
      </c>
      <c r="L40" s="40" t="s">
        <v>66</v>
      </c>
      <c r="M40" s="41" t="s">
        <v>67</v>
      </c>
      <c r="N40" s="41"/>
      <c r="O40" s="42" t="s">
        <v>73</v>
      </c>
      <c r="P40" s="42" t="s">
        <v>74</v>
      </c>
    </row>
    <row r="41" spans="1:16" ht="12.75" customHeight="1" thickBot="1" x14ac:dyDescent="0.25">
      <c r="A41" s="10" t="str">
        <f t="shared" si="0"/>
        <v> CPRI 13.2 </v>
      </c>
      <c r="B41" s="5" t="str">
        <f t="shared" si="1"/>
        <v>I</v>
      </c>
      <c r="C41" s="10">
        <f t="shared" si="2"/>
        <v>18312.599999999999</v>
      </c>
      <c r="D41" s="13" t="str">
        <f t="shared" si="3"/>
        <v>vis</v>
      </c>
      <c r="E41" s="39">
        <f>VLOOKUP(C41,Active!C$21:E$973,3,FALSE)</f>
        <v>-566.05039143960903</v>
      </c>
      <c r="F41" s="5" t="s">
        <v>52</v>
      </c>
      <c r="G41" s="13" t="str">
        <f t="shared" si="4"/>
        <v>18312.6</v>
      </c>
      <c r="H41" s="10">
        <f t="shared" si="5"/>
        <v>-566</v>
      </c>
      <c r="I41" s="40" t="s">
        <v>96</v>
      </c>
      <c r="J41" s="41" t="s">
        <v>97</v>
      </c>
      <c r="K41" s="40">
        <v>-566</v>
      </c>
      <c r="L41" s="40" t="s">
        <v>84</v>
      </c>
      <c r="M41" s="41" t="s">
        <v>67</v>
      </c>
      <c r="N41" s="41"/>
      <c r="O41" s="42" t="s">
        <v>73</v>
      </c>
      <c r="P41" s="42" t="s">
        <v>74</v>
      </c>
    </row>
    <row r="42" spans="1:16" ht="12.75" customHeight="1" thickBot="1" x14ac:dyDescent="0.25">
      <c r="A42" s="10" t="str">
        <f t="shared" si="0"/>
        <v> CPRI 13.2 </v>
      </c>
      <c r="B42" s="5" t="str">
        <f t="shared" si="1"/>
        <v>I</v>
      </c>
      <c r="C42" s="10">
        <f t="shared" si="2"/>
        <v>18348.900000000001</v>
      </c>
      <c r="D42" s="13" t="str">
        <f t="shared" si="3"/>
        <v>vis</v>
      </c>
      <c r="E42" s="39">
        <f>VLOOKUP(C42,Active!C$21:E$973,3,FALSE)</f>
        <v>-565.05760486820964</v>
      </c>
      <c r="F42" s="5" t="s">
        <v>52</v>
      </c>
      <c r="G42" s="13" t="str">
        <f t="shared" si="4"/>
        <v>18348.9</v>
      </c>
      <c r="H42" s="10">
        <f t="shared" si="5"/>
        <v>-565</v>
      </c>
      <c r="I42" s="40" t="s">
        <v>98</v>
      </c>
      <c r="J42" s="41" t="s">
        <v>99</v>
      </c>
      <c r="K42" s="40">
        <v>-565</v>
      </c>
      <c r="L42" s="40" t="s">
        <v>72</v>
      </c>
      <c r="M42" s="41" t="s">
        <v>67</v>
      </c>
      <c r="N42" s="41"/>
      <c r="O42" s="42" t="s">
        <v>73</v>
      </c>
      <c r="P42" s="42" t="s">
        <v>74</v>
      </c>
    </row>
    <row r="43" spans="1:16" ht="12.75" customHeight="1" thickBot="1" x14ac:dyDescent="0.25">
      <c r="A43" s="10" t="str">
        <f t="shared" ref="A43:A78" si="6">P43</f>
        <v> CPRI 13.2 </v>
      </c>
      <c r="B43" s="5" t="str">
        <f t="shared" ref="B43:B78" si="7">IF(H43=INT(H43),"I","II")</f>
        <v>I</v>
      </c>
      <c r="C43" s="10">
        <f t="shared" ref="C43:C78" si="8">1*G43</f>
        <v>18568.3</v>
      </c>
      <c r="D43" s="13" t="str">
        <f t="shared" ref="D43:D78" si="9">VLOOKUP(F43,I$1:J$5,2,FALSE)</f>
        <v>vis</v>
      </c>
      <c r="E43" s="39">
        <f>VLOOKUP(C43,Active!C$21:E$973,3,FALSE)</f>
        <v>-559.05712625209401</v>
      </c>
      <c r="F43" s="5" t="s">
        <v>52</v>
      </c>
      <c r="G43" s="13" t="str">
        <f t="shared" ref="G43:G78" si="10">MID(I43,3,LEN(I43)-3)</f>
        <v>18568.3</v>
      </c>
      <c r="H43" s="10">
        <f t="shared" ref="H43:H78" si="11">1*K43</f>
        <v>-559</v>
      </c>
      <c r="I43" s="40" t="s">
        <v>100</v>
      </c>
      <c r="J43" s="41" t="s">
        <v>101</v>
      </c>
      <c r="K43" s="40">
        <v>-559</v>
      </c>
      <c r="L43" s="40" t="s">
        <v>72</v>
      </c>
      <c r="M43" s="41" t="s">
        <v>67</v>
      </c>
      <c r="N43" s="41"/>
      <c r="O43" s="42" t="s">
        <v>80</v>
      </c>
      <c r="P43" s="42" t="s">
        <v>74</v>
      </c>
    </row>
    <row r="44" spans="1:16" ht="12.75" customHeight="1" thickBot="1" x14ac:dyDescent="0.25">
      <c r="A44" s="10" t="str">
        <f t="shared" si="6"/>
        <v> CPRI 13.2 </v>
      </c>
      <c r="B44" s="5" t="str">
        <f t="shared" si="7"/>
        <v>I</v>
      </c>
      <c r="C44" s="10">
        <f t="shared" si="8"/>
        <v>19592.099999999999</v>
      </c>
      <c r="D44" s="13" t="str">
        <f t="shared" si="9"/>
        <v>vis</v>
      </c>
      <c r="E44" s="39">
        <f>VLOOKUP(C44,Active!C$21:E$973,3,FALSE)</f>
        <v>-531.05671600970913</v>
      </c>
      <c r="F44" s="5" t="s">
        <v>52</v>
      </c>
      <c r="G44" s="13" t="str">
        <f t="shared" si="10"/>
        <v>19592.1</v>
      </c>
      <c r="H44" s="10">
        <f t="shared" si="11"/>
        <v>-531</v>
      </c>
      <c r="I44" s="40" t="s">
        <v>102</v>
      </c>
      <c r="J44" s="41" t="s">
        <v>103</v>
      </c>
      <c r="K44" s="40">
        <v>-531</v>
      </c>
      <c r="L44" s="40" t="s">
        <v>72</v>
      </c>
      <c r="M44" s="41" t="s">
        <v>67</v>
      </c>
      <c r="N44" s="41"/>
      <c r="O44" s="42" t="s">
        <v>80</v>
      </c>
      <c r="P44" s="42" t="s">
        <v>74</v>
      </c>
    </row>
    <row r="45" spans="1:16" ht="12.75" customHeight="1" thickBot="1" x14ac:dyDescent="0.25">
      <c r="A45" s="10" t="str">
        <f t="shared" si="6"/>
        <v> CPRI 13.2 </v>
      </c>
      <c r="B45" s="5" t="str">
        <f t="shared" si="7"/>
        <v>I</v>
      </c>
      <c r="C45" s="10">
        <f t="shared" si="8"/>
        <v>19811.7</v>
      </c>
      <c r="D45" s="13" t="str">
        <f t="shared" si="9"/>
        <v>vis</v>
      </c>
      <c r="E45" s="39">
        <f>VLOOKUP(C45,Active!C$21:E$973,3,FALSE)</f>
        <v>-525.05076749512841</v>
      </c>
      <c r="F45" s="5" t="s">
        <v>52</v>
      </c>
      <c r="G45" s="13" t="str">
        <f t="shared" si="10"/>
        <v>19811.7</v>
      </c>
      <c r="H45" s="10">
        <f t="shared" si="11"/>
        <v>-525</v>
      </c>
      <c r="I45" s="40" t="s">
        <v>104</v>
      </c>
      <c r="J45" s="41" t="s">
        <v>105</v>
      </c>
      <c r="K45" s="40">
        <v>-525</v>
      </c>
      <c r="L45" s="40" t="s">
        <v>77</v>
      </c>
      <c r="M45" s="41" t="s">
        <v>67</v>
      </c>
      <c r="N45" s="41"/>
      <c r="O45" s="42" t="s">
        <v>80</v>
      </c>
      <c r="P45" s="42" t="s">
        <v>74</v>
      </c>
    </row>
    <row r="46" spans="1:16" ht="12.75" customHeight="1" thickBot="1" x14ac:dyDescent="0.25">
      <c r="A46" s="10" t="str">
        <f t="shared" si="6"/>
        <v> AN 220.337 </v>
      </c>
      <c r="B46" s="5" t="str">
        <f t="shared" si="7"/>
        <v>II</v>
      </c>
      <c r="C46" s="10">
        <f t="shared" si="8"/>
        <v>23084.32</v>
      </c>
      <c r="D46" s="13" t="str">
        <f t="shared" si="9"/>
        <v>vis</v>
      </c>
      <c r="E46" s="39">
        <f>VLOOKUP(C46,Active!C$21:E$973,3,FALSE)</f>
        <v>-435.54627192232749</v>
      </c>
      <c r="F46" s="5" t="s">
        <v>52</v>
      </c>
      <c r="G46" s="13" t="str">
        <f t="shared" si="10"/>
        <v>23084.32</v>
      </c>
      <c r="H46" s="10">
        <f t="shared" si="11"/>
        <v>-435.5</v>
      </c>
      <c r="I46" s="40" t="s">
        <v>111</v>
      </c>
      <c r="J46" s="41" t="s">
        <v>112</v>
      </c>
      <c r="K46" s="40">
        <v>-435.5</v>
      </c>
      <c r="L46" s="40" t="s">
        <v>113</v>
      </c>
      <c r="M46" s="41" t="s">
        <v>67</v>
      </c>
      <c r="N46" s="41"/>
      <c r="O46" s="42" t="s">
        <v>114</v>
      </c>
      <c r="P46" s="42" t="s">
        <v>115</v>
      </c>
    </row>
    <row r="47" spans="1:16" ht="12.75" customHeight="1" thickBot="1" x14ac:dyDescent="0.25">
      <c r="A47" s="10" t="str">
        <f t="shared" si="6"/>
        <v> BAN 6.116 </v>
      </c>
      <c r="B47" s="5" t="str">
        <f t="shared" si="7"/>
        <v>I</v>
      </c>
      <c r="C47" s="10">
        <f t="shared" si="8"/>
        <v>23614.62</v>
      </c>
      <c r="D47" s="13" t="str">
        <f t="shared" si="9"/>
        <v>vis</v>
      </c>
      <c r="E47" s="39">
        <f>VLOOKUP(C47,Active!C$21:E$973,3,FALSE)</f>
        <v>-421.04283614235419</v>
      </c>
      <c r="F47" s="5" t="s">
        <v>52</v>
      </c>
      <c r="G47" s="13" t="str">
        <f t="shared" si="10"/>
        <v>23614.62</v>
      </c>
      <c r="H47" s="10">
        <f t="shared" si="11"/>
        <v>-421</v>
      </c>
      <c r="I47" s="40" t="s">
        <v>119</v>
      </c>
      <c r="J47" s="41" t="s">
        <v>120</v>
      </c>
      <c r="K47" s="40">
        <v>-421</v>
      </c>
      <c r="L47" s="40" t="s">
        <v>121</v>
      </c>
      <c r="M47" s="41" t="s">
        <v>67</v>
      </c>
      <c r="N47" s="41"/>
      <c r="O47" s="42" t="s">
        <v>122</v>
      </c>
      <c r="P47" s="42" t="s">
        <v>123</v>
      </c>
    </row>
    <row r="48" spans="1:16" ht="12.75" customHeight="1" thickBot="1" x14ac:dyDescent="0.25">
      <c r="A48" s="10" t="str">
        <f t="shared" si="6"/>
        <v> CPRI 13.2 </v>
      </c>
      <c r="B48" s="5" t="str">
        <f t="shared" si="7"/>
        <v>II</v>
      </c>
      <c r="C48" s="10">
        <f t="shared" si="8"/>
        <v>23742.34</v>
      </c>
      <c r="D48" s="13" t="str">
        <f t="shared" si="9"/>
        <v>vis</v>
      </c>
      <c r="E48" s="39">
        <f>VLOOKUP(C48,Active!C$21:E$973,3,FALSE)</f>
        <v>-417.54975898259892</v>
      </c>
      <c r="F48" s="5" t="s">
        <v>52</v>
      </c>
      <c r="G48" s="13" t="str">
        <f t="shared" si="10"/>
        <v>23742.34</v>
      </c>
      <c r="H48" s="10">
        <f t="shared" si="11"/>
        <v>-417.5</v>
      </c>
      <c r="I48" s="40" t="s">
        <v>127</v>
      </c>
      <c r="J48" s="41" t="s">
        <v>128</v>
      </c>
      <c r="K48" s="40">
        <v>-417.5</v>
      </c>
      <c r="L48" s="40" t="s">
        <v>129</v>
      </c>
      <c r="M48" s="41" t="s">
        <v>67</v>
      </c>
      <c r="N48" s="41"/>
      <c r="O48" s="42" t="s">
        <v>130</v>
      </c>
      <c r="P48" s="42" t="s">
        <v>74</v>
      </c>
    </row>
    <row r="49" spans="1:16" ht="12.75" customHeight="1" thickBot="1" x14ac:dyDescent="0.25">
      <c r="A49" s="10" t="str">
        <f t="shared" si="6"/>
        <v> BAN 6.116 </v>
      </c>
      <c r="B49" s="5" t="str">
        <f t="shared" si="7"/>
        <v>I</v>
      </c>
      <c r="C49" s="10">
        <f t="shared" si="8"/>
        <v>23980.37</v>
      </c>
      <c r="D49" s="13" t="str">
        <f t="shared" si="9"/>
        <v>vis</v>
      </c>
      <c r="E49" s="39">
        <f>VLOOKUP(C49,Active!C$21:E$973,3,FALSE)</f>
        <v>-411.03975932446764</v>
      </c>
      <c r="F49" s="5" t="s">
        <v>52</v>
      </c>
      <c r="G49" s="13" t="str">
        <f t="shared" si="10"/>
        <v>23980.37</v>
      </c>
      <c r="H49" s="10">
        <f t="shared" si="11"/>
        <v>-411</v>
      </c>
      <c r="I49" s="40" t="s">
        <v>131</v>
      </c>
      <c r="J49" s="41" t="s">
        <v>132</v>
      </c>
      <c r="K49" s="40">
        <v>-411</v>
      </c>
      <c r="L49" s="40" t="s">
        <v>133</v>
      </c>
      <c r="M49" s="41" t="s">
        <v>67</v>
      </c>
      <c r="N49" s="41"/>
      <c r="O49" s="42" t="s">
        <v>122</v>
      </c>
      <c r="P49" s="42" t="s">
        <v>123</v>
      </c>
    </row>
    <row r="50" spans="1:16" ht="12.75" customHeight="1" thickBot="1" x14ac:dyDescent="0.25">
      <c r="A50" s="10" t="str">
        <f t="shared" si="6"/>
        <v> BAN 6.116 </v>
      </c>
      <c r="B50" s="5" t="str">
        <f t="shared" si="7"/>
        <v>I</v>
      </c>
      <c r="C50" s="10">
        <f t="shared" si="8"/>
        <v>24492.39</v>
      </c>
      <c r="D50" s="13" t="str">
        <f t="shared" si="9"/>
        <v>vis</v>
      </c>
      <c r="E50" s="39">
        <f>VLOOKUP(C50,Active!C$21:E$973,3,FALSE)</f>
        <v>-397.03627226419616</v>
      </c>
      <c r="F50" s="5" t="s">
        <v>52</v>
      </c>
      <c r="G50" s="13" t="str">
        <f t="shared" si="10"/>
        <v>24492.39</v>
      </c>
      <c r="H50" s="10">
        <f t="shared" si="11"/>
        <v>-397</v>
      </c>
      <c r="I50" s="40" t="s">
        <v>134</v>
      </c>
      <c r="J50" s="41" t="s">
        <v>135</v>
      </c>
      <c r="K50" s="40">
        <v>-397</v>
      </c>
      <c r="L50" s="40" t="s">
        <v>136</v>
      </c>
      <c r="M50" s="41" t="s">
        <v>67</v>
      </c>
      <c r="N50" s="41"/>
      <c r="O50" s="42" t="s">
        <v>122</v>
      </c>
      <c r="P50" s="42" t="s">
        <v>123</v>
      </c>
    </row>
    <row r="51" spans="1:16" ht="12.75" customHeight="1" thickBot="1" x14ac:dyDescent="0.25">
      <c r="A51" s="10" t="str">
        <f t="shared" si="6"/>
        <v> BAN 6.116 </v>
      </c>
      <c r="B51" s="5" t="str">
        <f t="shared" si="7"/>
        <v>I</v>
      </c>
      <c r="C51" s="10">
        <f t="shared" si="8"/>
        <v>25004.44</v>
      </c>
      <c r="D51" s="13" t="str">
        <f t="shared" si="9"/>
        <v>vis</v>
      </c>
      <c r="E51" s="39">
        <f>VLOOKUP(C51,Active!C$21:E$973,3,FALSE)</f>
        <v>-383.03196471915498</v>
      </c>
      <c r="F51" s="5" t="s">
        <v>52</v>
      </c>
      <c r="G51" s="13" t="str">
        <f t="shared" si="10"/>
        <v>25004.44</v>
      </c>
      <c r="H51" s="10">
        <f t="shared" si="11"/>
        <v>-383</v>
      </c>
      <c r="I51" s="40" t="s">
        <v>137</v>
      </c>
      <c r="J51" s="41" t="s">
        <v>138</v>
      </c>
      <c r="K51" s="40">
        <v>-383</v>
      </c>
      <c r="L51" s="40" t="s">
        <v>139</v>
      </c>
      <c r="M51" s="41" t="s">
        <v>67</v>
      </c>
      <c r="N51" s="41"/>
      <c r="O51" s="42" t="s">
        <v>122</v>
      </c>
      <c r="P51" s="42" t="s">
        <v>123</v>
      </c>
    </row>
    <row r="52" spans="1:16" ht="12.75" customHeight="1" thickBot="1" x14ac:dyDescent="0.25">
      <c r="A52" s="10" t="str">
        <f t="shared" si="6"/>
        <v> BAN 6.116 </v>
      </c>
      <c r="B52" s="5" t="str">
        <f t="shared" si="7"/>
        <v>I</v>
      </c>
      <c r="C52" s="10">
        <f t="shared" si="8"/>
        <v>25260.19</v>
      </c>
      <c r="D52" s="13" t="str">
        <f t="shared" si="9"/>
        <v>vis</v>
      </c>
      <c r="E52" s="39">
        <f>VLOOKUP(C52,Active!C$21:E$973,3,FALSE)</f>
        <v>-376.03733205702378</v>
      </c>
      <c r="F52" s="5" t="s">
        <v>52</v>
      </c>
      <c r="G52" s="13" t="str">
        <f t="shared" si="10"/>
        <v>25260.19</v>
      </c>
      <c r="H52" s="10">
        <f t="shared" si="11"/>
        <v>-376</v>
      </c>
      <c r="I52" s="40" t="s">
        <v>140</v>
      </c>
      <c r="J52" s="41" t="s">
        <v>141</v>
      </c>
      <c r="K52" s="40">
        <v>-376</v>
      </c>
      <c r="L52" s="40" t="s">
        <v>142</v>
      </c>
      <c r="M52" s="41" t="s">
        <v>67</v>
      </c>
      <c r="N52" s="41"/>
      <c r="O52" s="42" t="s">
        <v>122</v>
      </c>
      <c r="P52" s="42" t="s">
        <v>123</v>
      </c>
    </row>
    <row r="53" spans="1:16" ht="12.75" customHeight="1" thickBot="1" x14ac:dyDescent="0.25">
      <c r="A53" s="10" t="str">
        <f t="shared" si="6"/>
        <v> BAN 6.116 </v>
      </c>
      <c r="B53" s="5" t="str">
        <f t="shared" si="7"/>
        <v>I</v>
      </c>
      <c r="C53" s="10">
        <f t="shared" si="8"/>
        <v>25516.22</v>
      </c>
      <c r="D53" s="13" t="str">
        <f t="shared" si="9"/>
        <v>vis</v>
      </c>
      <c r="E53" s="39">
        <f>VLOOKUP(C53,Active!C$21:E$973,3,FALSE)</f>
        <v>-369.03504153704148</v>
      </c>
      <c r="F53" s="5" t="s">
        <v>52</v>
      </c>
      <c r="G53" s="13" t="str">
        <f t="shared" si="10"/>
        <v>25516.22</v>
      </c>
      <c r="H53" s="10">
        <f t="shared" si="11"/>
        <v>-369</v>
      </c>
      <c r="I53" s="40" t="s">
        <v>143</v>
      </c>
      <c r="J53" s="41" t="s">
        <v>144</v>
      </c>
      <c r="K53" s="40">
        <v>-369</v>
      </c>
      <c r="L53" s="40" t="s">
        <v>145</v>
      </c>
      <c r="M53" s="41" t="s">
        <v>67</v>
      </c>
      <c r="N53" s="41"/>
      <c r="O53" s="42" t="s">
        <v>122</v>
      </c>
      <c r="P53" s="42" t="s">
        <v>123</v>
      </c>
    </row>
    <row r="54" spans="1:16" ht="12.75" customHeight="1" thickBot="1" x14ac:dyDescent="0.25">
      <c r="A54" s="10" t="str">
        <f t="shared" si="6"/>
        <v> BAN 6.116 </v>
      </c>
      <c r="B54" s="5" t="str">
        <f t="shared" si="7"/>
        <v>I</v>
      </c>
      <c r="C54" s="10">
        <f t="shared" si="8"/>
        <v>25589.51</v>
      </c>
      <c r="D54" s="13" t="str">
        <f t="shared" si="9"/>
        <v>vis</v>
      </c>
      <c r="E54" s="39">
        <f>VLOOKUP(C54,Active!C$21:E$973,3,FALSE)</f>
        <v>-367.03059724453874</v>
      </c>
      <c r="F54" s="5" t="s">
        <v>52</v>
      </c>
      <c r="G54" s="13" t="str">
        <f t="shared" si="10"/>
        <v>25589.51</v>
      </c>
      <c r="H54" s="10">
        <f t="shared" si="11"/>
        <v>-367</v>
      </c>
      <c r="I54" s="40" t="s">
        <v>146</v>
      </c>
      <c r="J54" s="41" t="s">
        <v>147</v>
      </c>
      <c r="K54" s="40">
        <v>-367</v>
      </c>
      <c r="L54" s="40" t="s">
        <v>148</v>
      </c>
      <c r="M54" s="41" t="s">
        <v>67</v>
      </c>
      <c r="N54" s="41"/>
      <c r="O54" s="42" t="s">
        <v>122</v>
      </c>
      <c r="P54" s="42" t="s">
        <v>123</v>
      </c>
    </row>
    <row r="55" spans="1:16" ht="12.75" customHeight="1" thickBot="1" x14ac:dyDescent="0.25">
      <c r="A55" s="10" t="str">
        <f t="shared" si="6"/>
        <v> BAN 6.116 </v>
      </c>
      <c r="B55" s="5" t="str">
        <f t="shared" si="7"/>
        <v>I</v>
      </c>
      <c r="C55" s="10">
        <f t="shared" si="8"/>
        <v>25699.040000000001</v>
      </c>
      <c r="D55" s="13" t="str">
        <f t="shared" si="9"/>
        <v>vis</v>
      </c>
      <c r="E55" s="39">
        <f>VLOOKUP(C55,Active!C$21:E$973,3,FALSE)</f>
        <v>-364.0350073501761</v>
      </c>
      <c r="F55" s="5" t="s">
        <v>52</v>
      </c>
      <c r="G55" s="13" t="str">
        <f t="shared" si="10"/>
        <v>25699.04</v>
      </c>
      <c r="H55" s="10">
        <f t="shared" si="11"/>
        <v>-364</v>
      </c>
      <c r="I55" s="40" t="s">
        <v>149</v>
      </c>
      <c r="J55" s="41" t="s">
        <v>150</v>
      </c>
      <c r="K55" s="40">
        <v>-364</v>
      </c>
      <c r="L55" s="40" t="s">
        <v>145</v>
      </c>
      <c r="M55" s="41" t="s">
        <v>67</v>
      </c>
      <c r="N55" s="41"/>
      <c r="O55" s="42" t="s">
        <v>122</v>
      </c>
      <c r="P55" s="42" t="s">
        <v>123</v>
      </c>
    </row>
    <row r="56" spans="1:16" ht="12.75" customHeight="1" thickBot="1" x14ac:dyDescent="0.25">
      <c r="A56" s="10" t="str">
        <f t="shared" si="6"/>
        <v> BAN 6.116 </v>
      </c>
      <c r="B56" s="5" t="str">
        <f t="shared" si="7"/>
        <v>I</v>
      </c>
      <c r="C56" s="10">
        <f t="shared" si="8"/>
        <v>25809</v>
      </c>
      <c r="D56" s="13" t="str">
        <f t="shared" si="9"/>
        <v>vis</v>
      </c>
      <c r="E56" s="39">
        <f>VLOOKUP(C56,Active!C$21:E$973,3,FALSE)</f>
        <v>-361.02765717411376</v>
      </c>
      <c r="F56" s="5" t="s">
        <v>52</v>
      </c>
      <c r="G56" s="13" t="str">
        <f t="shared" si="10"/>
        <v>25809.00</v>
      </c>
      <c r="H56" s="10">
        <f t="shared" si="11"/>
        <v>-361</v>
      </c>
      <c r="I56" s="40" t="s">
        <v>151</v>
      </c>
      <c r="J56" s="41" t="s">
        <v>152</v>
      </c>
      <c r="K56" s="40">
        <v>-361</v>
      </c>
      <c r="L56" s="40" t="s">
        <v>153</v>
      </c>
      <c r="M56" s="41" t="s">
        <v>67</v>
      </c>
      <c r="N56" s="41"/>
      <c r="O56" s="42" t="s">
        <v>122</v>
      </c>
      <c r="P56" s="42" t="s">
        <v>123</v>
      </c>
    </row>
    <row r="57" spans="1:16" ht="12.75" customHeight="1" thickBot="1" x14ac:dyDescent="0.25">
      <c r="A57" s="10" t="str">
        <f t="shared" si="6"/>
        <v> BAN 6.116 </v>
      </c>
      <c r="B57" s="5" t="str">
        <f t="shared" si="7"/>
        <v>I</v>
      </c>
      <c r="C57" s="10">
        <f t="shared" si="8"/>
        <v>25918.69</v>
      </c>
      <c r="D57" s="13" t="str">
        <f t="shared" si="9"/>
        <v>vis</v>
      </c>
      <c r="E57" s="39">
        <f>VLOOKUP(C57,Active!C$21:E$973,3,FALSE)</f>
        <v>-358.02769136097919</v>
      </c>
      <c r="F57" s="5" t="s">
        <v>52</v>
      </c>
      <c r="G57" s="13" t="str">
        <f t="shared" si="10"/>
        <v>25918.69</v>
      </c>
      <c r="H57" s="10">
        <f t="shared" si="11"/>
        <v>-358</v>
      </c>
      <c r="I57" s="40" t="s">
        <v>157</v>
      </c>
      <c r="J57" s="41" t="s">
        <v>158</v>
      </c>
      <c r="K57" s="40">
        <v>-358</v>
      </c>
      <c r="L57" s="40" t="s">
        <v>153</v>
      </c>
      <c r="M57" s="41" t="s">
        <v>67</v>
      </c>
      <c r="N57" s="41"/>
      <c r="O57" s="42" t="s">
        <v>122</v>
      </c>
      <c r="P57" s="42" t="s">
        <v>123</v>
      </c>
    </row>
    <row r="58" spans="1:16" ht="12.75" customHeight="1" thickBot="1" x14ac:dyDescent="0.25">
      <c r="A58" s="10" t="str">
        <f t="shared" si="6"/>
        <v> COVS </v>
      </c>
      <c r="B58" s="5" t="str">
        <f t="shared" si="7"/>
        <v>I</v>
      </c>
      <c r="C58" s="10">
        <f t="shared" si="8"/>
        <v>26101.4</v>
      </c>
      <c r="D58" s="13" t="str">
        <f t="shared" si="9"/>
        <v>vis</v>
      </c>
      <c r="E58" s="39">
        <f>VLOOKUP(C58,Active!C$21:E$973,3,FALSE)</f>
        <v>-353.0306656182695</v>
      </c>
      <c r="F58" s="5" t="s">
        <v>52</v>
      </c>
      <c r="G58" s="13" t="str">
        <f t="shared" si="10"/>
        <v>26101.4</v>
      </c>
      <c r="H58" s="10">
        <f t="shared" si="11"/>
        <v>-353</v>
      </c>
      <c r="I58" s="40" t="s">
        <v>159</v>
      </c>
      <c r="J58" s="41" t="s">
        <v>160</v>
      </c>
      <c r="K58" s="40">
        <v>-353</v>
      </c>
      <c r="L58" s="40" t="s">
        <v>161</v>
      </c>
      <c r="M58" s="41" t="s">
        <v>67</v>
      </c>
      <c r="N58" s="41"/>
      <c r="O58" s="42" t="s">
        <v>162</v>
      </c>
      <c r="P58" s="42" t="s">
        <v>163</v>
      </c>
    </row>
    <row r="59" spans="1:16" ht="12.75" customHeight="1" thickBot="1" x14ac:dyDescent="0.25">
      <c r="A59" s="10" t="str">
        <f t="shared" si="6"/>
        <v> AC 39.4 </v>
      </c>
      <c r="B59" s="5" t="str">
        <f t="shared" si="7"/>
        <v>I</v>
      </c>
      <c r="C59" s="10">
        <f t="shared" si="8"/>
        <v>30599.81</v>
      </c>
      <c r="D59" s="13" t="str">
        <f t="shared" si="9"/>
        <v>vis</v>
      </c>
      <c r="E59" s="39">
        <f>VLOOKUP(C59,Active!C$21:E$973,3,FALSE)</f>
        <v>-230.00143584834709</v>
      </c>
      <c r="F59" s="5" t="s">
        <v>52</v>
      </c>
      <c r="G59" s="13" t="str">
        <f t="shared" si="10"/>
        <v>30599.81</v>
      </c>
      <c r="H59" s="10">
        <f t="shared" si="11"/>
        <v>-230</v>
      </c>
      <c r="I59" s="40" t="s">
        <v>164</v>
      </c>
      <c r="J59" s="41" t="s">
        <v>165</v>
      </c>
      <c r="K59" s="40">
        <v>-230</v>
      </c>
      <c r="L59" s="40" t="s">
        <v>166</v>
      </c>
      <c r="M59" s="41" t="s">
        <v>54</v>
      </c>
      <c r="N59" s="41"/>
      <c r="O59" s="42" t="s">
        <v>167</v>
      </c>
      <c r="P59" s="42" t="s">
        <v>168</v>
      </c>
    </row>
    <row r="60" spans="1:16" ht="12.75" customHeight="1" thickBot="1" x14ac:dyDescent="0.25">
      <c r="A60" s="10" t="str">
        <f t="shared" si="6"/>
        <v> HA 113.72 </v>
      </c>
      <c r="B60" s="5" t="str">
        <f t="shared" si="7"/>
        <v>I</v>
      </c>
      <c r="C60" s="10">
        <f t="shared" si="8"/>
        <v>30671.960999999999</v>
      </c>
      <c r="D60" s="13" t="str">
        <f t="shared" si="9"/>
        <v>vis</v>
      </c>
      <c r="E60" s="39">
        <f>VLOOKUP(C60,Active!C$21:E$973,3,FALSE)</f>
        <v>-228.02814262760253</v>
      </c>
      <c r="F60" s="5" t="s">
        <v>52</v>
      </c>
      <c r="G60" s="13" t="str">
        <f t="shared" si="10"/>
        <v>30671.961</v>
      </c>
      <c r="H60" s="10">
        <f t="shared" si="11"/>
        <v>-228</v>
      </c>
      <c r="I60" s="40" t="s">
        <v>174</v>
      </c>
      <c r="J60" s="41" t="s">
        <v>175</v>
      </c>
      <c r="K60" s="40">
        <v>-228</v>
      </c>
      <c r="L60" s="40" t="s">
        <v>176</v>
      </c>
      <c r="M60" s="41" t="s">
        <v>54</v>
      </c>
      <c r="N60" s="41"/>
      <c r="O60" s="42" t="s">
        <v>177</v>
      </c>
      <c r="P60" s="42" t="s">
        <v>178</v>
      </c>
    </row>
    <row r="61" spans="1:16" ht="12.75" customHeight="1" thickBot="1" x14ac:dyDescent="0.25">
      <c r="A61" s="10" t="str">
        <f t="shared" si="6"/>
        <v> AN 285.99 </v>
      </c>
      <c r="B61" s="5" t="str">
        <f t="shared" si="7"/>
        <v>I</v>
      </c>
      <c r="C61" s="10">
        <f t="shared" si="8"/>
        <v>33963.279999999999</v>
      </c>
      <c r="D61" s="13" t="str">
        <f t="shared" si="9"/>
        <v>vis</v>
      </c>
      <c r="E61" s="39">
        <f>VLOOKUP(C61,Active!C$21:E$973,3,FALSE)</f>
        <v>-138.01223889781554</v>
      </c>
      <c r="F61" s="5" t="s">
        <v>52</v>
      </c>
      <c r="G61" s="13" t="str">
        <f t="shared" si="10"/>
        <v>33963.28</v>
      </c>
      <c r="H61" s="10">
        <f t="shared" si="11"/>
        <v>-138</v>
      </c>
      <c r="I61" s="40" t="s">
        <v>194</v>
      </c>
      <c r="J61" s="41" t="s">
        <v>195</v>
      </c>
      <c r="K61" s="40">
        <v>-138</v>
      </c>
      <c r="L61" s="40" t="s">
        <v>196</v>
      </c>
      <c r="M61" s="41" t="s">
        <v>54</v>
      </c>
      <c r="N61" s="41"/>
      <c r="O61" s="42" t="s">
        <v>197</v>
      </c>
      <c r="P61" s="42" t="s">
        <v>198</v>
      </c>
    </row>
    <row r="62" spans="1:16" ht="12.75" customHeight="1" thickBot="1" x14ac:dyDescent="0.25">
      <c r="A62" s="10" t="str">
        <f t="shared" si="6"/>
        <v> AA 8.190 </v>
      </c>
      <c r="B62" s="5" t="str">
        <f t="shared" si="7"/>
        <v>I</v>
      </c>
      <c r="C62" s="10">
        <f t="shared" si="8"/>
        <v>34987.4</v>
      </c>
      <c r="D62" s="13" t="str">
        <f t="shared" si="9"/>
        <v>vis</v>
      </c>
      <c r="E62" s="39">
        <f>VLOOKUP(C62,Active!C$21:E$973,3,FALSE)</f>
        <v>-110.00307681788657</v>
      </c>
      <c r="F62" s="5" t="s">
        <v>52</v>
      </c>
      <c r="G62" s="13" t="str">
        <f t="shared" si="10"/>
        <v>34987.4</v>
      </c>
      <c r="H62" s="10">
        <f t="shared" si="11"/>
        <v>-110</v>
      </c>
      <c r="I62" s="40" t="s">
        <v>205</v>
      </c>
      <c r="J62" s="41" t="s">
        <v>206</v>
      </c>
      <c r="K62" s="40">
        <v>-110</v>
      </c>
      <c r="L62" s="40" t="s">
        <v>207</v>
      </c>
      <c r="M62" s="41" t="s">
        <v>67</v>
      </c>
      <c r="N62" s="41"/>
      <c r="O62" s="42" t="s">
        <v>162</v>
      </c>
      <c r="P62" s="42" t="s">
        <v>208</v>
      </c>
    </row>
    <row r="63" spans="1:16" ht="12.75" customHeight="1" thickBot="1" x14ac:dyDescent="0.25">
      <c r="A63" s="10" t="str">
        <f t="shared" si="6"/>
        <v> MSAI 29.474 </v>
      </c>
      <c r="B63" s="5" t="str">
        <f t="shared" si="7"/>
        <v>I</v>
      </c>
      <c r="C63" s="10">
        <f t="shared" si="8"/>
        <v>35132.36</v>
      </c>
      <c r="D63" s="13" t="str">
        <f t="shared" si="9"/>
        <v>vis</v>
      </c>
      <c r="E63" s="39">
        <f>VLOOKUP(C63,Active!C$21:E$973,3,FALSE)</f>
        <v>-106.03849441044753</v>
      </c>
      <c r="F63" s="5" t="s">
        <v>52</v>
      </c>
      <c r="G63" s="13" t="str">
        <f t="shared" si="10"/>
        <v>35132.36</v>
      </c>
      <c r="H63" s="10">
        <f t="shared" si="11"/>
        <v>-106</v>
      </c>
      <c r="I63" s="40" t="s">
        <v>209</v>
      </c>
      <c r="J63" s="41" t="s">
        <v>210</v>
      </c>
      <c r="K63" s="40">
        <v>-106</v>
      </c>
      <c r="L63" s="40" t="s">
        <v>211</v>
      </c>
      <c r="M63" s="41" t="s">
        <v>58</v>
      </c>
      <c r="N63" s="41"/>
      <c r="O63" s="42" t="s">
        <v>212</v>
      </c>
      <c r="P63" s="42" t="s">
        <v>213</v>
      </c>
    </row>
    <row r="64" spans="1:16" ht="12.75" customHeight="1" thickBot="1" x14ac:dyDescent="0.25">
      <c r="A64" s="10" t="str">
        <f t="shared" si="6"/>
        <v> MSAI 29.474 </v>
      </c>
      <c r="B64" s="5" t="str">
        <f t="shared" si="7"/>
        <v>I</v>
      </c>
      <c r="C64" s="10">
        <f t="shared" si="8"/>
        <v>35717.35</v>
      </c>
      <c r="D64" s="13" t="str">
        <f t="shared" si="9"/>
        <v>vis</v>
      </c>
      <c r="E64" s="39">
        <f>VLOOKUP(C64,Active!C$21:E$973,3,FALSE)</f>
        <v>-90.039314895217345</v>
      </c>
      <c r="F64" s="5" t="s">
        <v>52</v>
      </c>
      <c r="G64" s="13" t="str">
        <f t="shared" si="10"/>
        <v>35717.35</v>
      </c>
      <c r="H64" s="10">
        <f t="shared" si="11"/>
        <v>-90</v>
      </c>
      <c r="I64" s="40" t="s">
        <v>214</v>
      </c>
      <c r="J64" s="41" t="s">
        <v>215</v>
      </c>
      <c r="K64" s="40">
        <v>-90</v>
      </c>
      <c r="L64" s="40" t="s">
        <v>216</v>
      </c>
      <c r="M64" s="41" t="s">
        <v>58</v>
      </c>
      <c r="N64" s="41"/>
      <c r="O64" s="42" t="s">
        <v>212</v>
      </c>
      <c r="P64" s="42" t="s">
        <v>213</v>
      </c>
    </row>
    <row r="65" spans="1:16" ht="12.75" customHeight="1" thickBot="1" x14ac:dyDescent="0.25">
      <c r="A65" s="10" t="str">
        <f t="shared" si="6"/>
        <v> AJ 72.480 </v>
      </c>
      <c r="B65" s="5" t="str">
        <f t="shared" si="7"/>
        <v>I</v>
      </c>
      <c r="C65" s="10">
        <f t="shared" si="8"/>
        <v>38314.660000000003</v>
      </c>
      <c r="D65" s="13" t="str">
        <f t="shared" si="9"/>
        <v>vis</v>
      </c>
      <c r="E65" s="39">
        <f>VLOOKUP(C65,Active!C$21:E$973,3,FALSE)</f>
        <v>-19.004204984444922</v>
      </c>
      <c r="F65" s="5" t="s">
        <v>52</v>
      </c>
      <c r="G65" s="13" t="str">
        <f t="shared" si="10"/>
        <v>38314.66</v>
      </c>
      <c r="H65" s="10">
        <f t="shared" si="11"/>
        <v>-19</v>
      </c>
      <c r="I65" s="40" t="s">
        <v>232</v>
      </c>
      <c r="J65" s="41" t="s">
        <v>233</v>
      </c>
      <c r="K65" s="40">
        <v>-19</v>
      </c>
      <c r="L65" s="40" t="s">
        <v>234</v>
      </c>
      <c r="M65" s="41" t="s">
        <v>235</v>
      </c>
      <c r="N65" s="41" t="s">
        <v>236</v>
      </c>
      <c r="O65" s="42" t="s">
        <v>237</v>
      </c>
      <c r="P65" s="42" t="s">
        <v>238</v>
      </c>
    </row>
    <row r="66" spans="1:16" ht="12.75" customHeight="1" thickBot="1" x14ac:dyDescent="0.25">
      <c r="A66" s="10" t="str">
        <f t="shared" si="6"/>
        <v> AJ 77.500 </v>
      </c>
      <c r="B66" s="5" t="str">
        <f t="shared" si="7"/>
        <v>I</v>
      </c>
      <c r="C66" s="10">
        <f t="shared" si="8"/>
        <v>38899.9</v>
      </c>
      <c r="D66" s="13" t="str">
        <f t="shared" si="9"/>
        <v>vis</v>
      </c>
      <c r="E66" s="39">
        <f>VLOOKUP(C66,Active!C$21:E$973,3,FALSE)</f>
        <v>-2.9981880961334655</v>
      </c>
      <c r="F66" s="5" t="s">
        <v>52</v>
      </c>
      <c r="G66" s="13" t="str">
        <f t="shared" si="10"/>
        <v>38899.9</v>
      </c>
      <c r="H66" s="10">
        <f t="shared" si="11"/>
        <v>-3</v>
      </c>
      <c r="I66" s="40" t="s">
        <v>239</v>
      </c>
      <c r="J66" s="41" t="s">
        <v>240</v>
      </c>
      <c r="K66" s="40">
        <v>-3</v>
      </c>
      <c r="L66" s="40" t="s">
        <v>241</v>
      </c>
      <c r="M66" s="41" t="s">
        <v>235</v>
      </c>
      <c r="N66" s="41" t="s">
        <v>236</v>
      </c>
      <c r="O66" s="42" t="s">
        <v>242</v>
      </c>
      <c r="P66" s="42" t="s">
        <v>243</v>
      </c>
    </row>
    <row r="67" spans="1:16" ht="12.75" customHeight="1" thickBot="1" x14ac:dyDescent="0.25">
      <c r="A67" s="10" t="str">
        <f t="shared" si="6"/>
        <v> AJ 77.500 </v>
      </c>
      <c r="B67" s="5" t="str">
        <f t="shared" si="7"/>
        <v>I</v>
      </c>
      <c r="C67" s="10">
        <f t="shared" si="8"/>
        <v>39009.5</v>
      </c>
      <c r="D67" s="13" t="str">
        <f t="shared" si="9"/>
        <v>vis</v>
      </c>
      <c r="E67" s="39">
        <f>VLOOKUP(C67,Active!C$21:E$973,3,FALSE)</f>
        <v>-6.837373081660167E-4</v>
      </c>
      <c r="F67" s="5" t="s">
        <v>52</v>
      </c>
      <c r="G67" s="13" t="str">
        <f t="shared" si="10"/>
        <v>39009.5</v>
      </c>
      <c r="H67" s="10">
        <f t="shared" si="11"/>
        <v>0</v>
      </c>
      <c r="I67" s="40" t="s">
        <v>244</v>
      </c>
      <c r="J67" s="41" t="s">
        <v>245</v>
      </c>
      <c r="K67" s="40">
        <v>0</v>
      </c>
      <c r="L67" s="40" t="s">
        <v>246</v>
      </c>
      <c r="M67" s="41" t="s">
        <v>235</v>
      </c>
      <c r="N67" s="41" t="s">
        <v>236</v>
      </c>
      <c r="O67" s="42" t="s">
        <v>242</v>
      </c>
      <c r="P67" s="42" t="s">
        <v>243</v>
      </c>
    </row>
    <row r="68" spans="1:16" ht="12.75" customHeight="1" thickBot="1" x14ac:dyDescent="0.25">
      <c r="A68" s="10" t="str">
        <f t="shared" si="6"/>
        <v> AJ 77.500 </v>
      </c>
      <c r="B68" s="5" t="str">
        <f t="shared" si="7"/>
        <v>I</v>
      </c>
      <c r="C68" s="10">
        <f t="shared" si="8"/>
        <v>39119.300000000003</v>
      </c>
      <c r="D68" s="13" t="str">
        <f t="shared" si="9"/>
        <v>vis</v>
      </c>
      <c r="E68" s="39">
        <f>VLOOKUP(C68,Active!C$21:E$973,3,FALSE)</f>
        <v>3.0022905199822629</v>
      </c>
      <c r="F68" s="5" t="s">
        <v>52</v>
      </c>
      <c r="G68" s="13" t="str">
        <f t="shared" si="10"/>
        <v>39119.3</v>
      </c>
      <c r="H68" s="10">
        <f t="shared" si="11"/>
        <v>3</v>
      </c>
      <c r="I68" s="40" t="s">
        <v>247</v>
      </c>
      <c r="J68" s="41" t="s">
        <v>248</v>
      </c>
      <c r="K68" s="40">
        <v>3</v>
      </c>
      <c r="L68" s="40" t="s">
        <v>241</v>
      </c>
      <c r="M68" s="41" t="s">
        <v>235</v>
      </c>
      <c r="N68" s="41" t="s">
        <v>236</v>
      </c>
      <c r="O68" s="42" t="s">
        <v>242</v>
      </c>
      <c r="P68" s="42" t="s">
        <v>243</v>
      </c>
    </row>
    <row r="69" spans="1:16" ht="12.75" customHeight="1" thickBot="1" x14ac:dyDescent="0.25">
      <c r="A69" s="10" t="str">
        <f t="shared" si="6"/>
        <v> AJ 77.500 </v>
      </c>
      <c r="B69" s="5" t="str">
        <f t="shared" si="7"/>
        <v>I</v>
      </c>
      <c r="C69" s="10">
        <f t="shared" si="8"/>
        <v>39411.4</v>
      </c>
      <c r="D69" s="13" t="str">
        <f t="shared" si="9"/>
        <v>vis</v>
      </c>
      <c r="E69" s="39">
        <f>VLOOKUP(C69,Active!C$21:E$973,3,FALSE)</f>
        <v>10.991077228128953</v>
      </c>
      <c r="F69" s="5" t="s">
        <v>52</v>
      </c>
      <c r="G69" s="13" t="str">
        <f t="shared" si="10"/>
        <v>39411.4</v>
      </c>
      <c r="H69" s="10">
        <f t="shared" si="11"/>
        <v>11</v>
      </c>
      <c r="I69" s="40" t="s">
        <v>249</v>
      </c>
      <c r="J69" s="41" t="s">
        <v>250</v>
      </c>
      <c r="K69" s="40">
        <v>11</v>
      </c>
      <c r="L69" s="40" t="s">
        <v>251</v>
      </c>
      <c r="M69" s="41" t="s">
        <v>235</v>
      </c>
      <c r="N69" s="41" t="s">
        <v>236</v>
      </c>
      <c r="O69" s="42" t="s">
        <v>242</v>
      </c>
      <c r="P69" s="42" t="s">
        <v>243</v>
      </c>
    </row>
    <row r="70" spans="1:16" ht="12.75" customHeight="1" thickBot="1" x14ac:dyDescent="0.25">
      <c r="A70" s="10" t="str">
        <f t="shared" si="6"/>
        <v> AJ 77.500 </v>
      </c>
      <c r="B70" s="5" t="str">
        <f t="shared" si="7"/>
        <v>I</v>
      </c>
      <c r="C70" s="10">
        <f t="shared" si="8"/>
        <v>39448.400000000001</v>
      </c>
      <c r="D70" s="13" t="str">
        <f t="shared" si="9"/>
        <v>vis</v>
      </c>
      <c r="E70" s="39">
        <f>VLOOKUP(C70,Active!C$21:E$973,3,FALSE)</f>
        <v>12.003008444155755</v>
      </c>
      <c r="F70" s="5" t="s">
        <v>52</v>
      </c>
      <c r="G70" s="13" t="str">
        <f t="shared" si="10"/>
        <v>39448.4</v>
      </c>
      <c r="H70" s="10">
        <f t="shared" si="11"/>
        <v>12</v>
      </c>
      <c r="I70" s="40" t="s">
        <v>252</v>
      </c>
      <c r="J70" s="41" t="s">
        <v>253</v>
      </c>
      <c r="K70" s="40">
        <v>12</v>
      </c>
      <c r="L70" s="40" t="s">
        <v>241</v>
      </c>
      <c r="M70" s="41" t="s">
        <v>235</v>
      </c>
      <c r="N70" s="41" t="s">
        <v>236</v>
      </c>
      <c r="O70" s="42" t="s">
        <v>242</v>
      </c>
      <c r="P70" s="42" t="s">
        <v>243</v>
      </c>
    </row>
    <row r="71" spans="1:16" ht="12.75" customHeight="1" thickBot="1" x14ac:dyDescent="0.25">
      <c r="A71" s="10" t="str">
        <f t="shared" si="6"/>
        <v> BRNO 20 </v>
      </c>
      <c r="B71" s="5" t="str">
        <f t="shared" si="7"/>
        <v>I</v>
      </c>
      <c r="C71" s="10">
        <f t="shared" si="8"/>
        <v>42300.53</v>
      </c>
      <c r="D71" s="13" t="str">
        <f t="shared" si="9"/>
        <v>vis</v>
      </c>
      <c r="E71" s="39">
        <f>VLOOKUP(C71,Active!C$21:E$973,3,FALSE)</f>
        <v>90.007315989196883</v>
      </c>
      <c r="F71" s="5" t="s">
        <v>52</v>
      </c>
      <c r="G71" s="13" t="str">
        <f t="shared" si="10"/>
        <v>42300.53</v>
      </c>
      <c r="H71" s="10">
        <f t="shared" si="11"/>
        <v>90</v>
      </c>
      <c r="I71" s="40" t="s">
        <v>254</v>
      </c>
      <c r="J71" s="41" t="s">
        <v>255</v>
      </c>
      <c r="K71" s="40">
        <v>90</v>
      </c>
      <c r="L71" s="40" t="s">
        <v>256</v>
      </c>
      <c r="M71" s="41" t="s">
        <v>67</v>
      </c>
      <c r="N71" s="41"/>
      <c r="O71" s="42" t="s">
        <v>257</v>
      </c>
      <c r="P71" s="42" t="s">
        <v>258</v>
      </c>
    </row>
    <row r="72" spans="1:16" ht="12.75" customHeight="1" thickBot="1" x14ac:dyDescent="0.25">
      <c r="A72" s="10" t="str">
        <f t="shared" si="6"/>
        <v> AVSJ 7.32 </v>
      </c>
      <c r="B72" s="5" t="str">
        <f t="shared" si="7"/>
        <v>I</v>
      </c>
      <c r="C72" s="10">
        <f t="shared" si="8"/>
        <v>42592.6</v>
      </c>
      <c r="D72" s="13" t="str">
        <f t="shared" si="9"/>
        <v>vis</v>
      </c>
      <c r="E72" s="39">
        <f>VLOOKUP(C72,Active!C$21:E$973,3,FALSE)</f>
        <v>97.995282212573855</v>
      </c>
      <c r="F72" s="5" t="s">
        <v>52</v>
      </c>
      <c r="G72" s="13" t="str">
        <f t="shared" si="10"/>
        <v>42592.60</v>
      </c>
      <c r="H72" s="10">
        <f t="shared" si="11"/>
        <v>98</v>
      </c>
      <c r="I72" s="40" t="s">
        <v>259</v>
      </c>
      <c r="J72" s="41" t="s">
        <v>260</v>
      </c>
      <c r="K72" s="40">
        <v>98</v>
      </c>
      <c r="L72" s="40" t="s">
        <v>231</v>
      </c>
      <c r="M72" s="41" t="s">
        <v>67</v>
      </c>
      <c r="N72" s="41"/>
      <c r="O72" s="42" t="s">
        <v>261</v>
      </c>
      <c r="P72" s="42" t="s">
        <v>262</v>
      </c>
    </row>
    <row r="73" spans="1:16" ht="12.75" customHeight="1" thickBot="1" x14ac:dyDescent="0.25">
      <c r="A73" s="10" t="str">
        <f t="shared" si="6"/>
        <v> AVSJ 7.32 </v>
      </c>
      <c r="B73" s="5" t="str">
        <f t="shared" si="7"/>
        <v>I</v>
      </c>
      <c r="C73" s="10">
        <f t="shared" si="8"/>
        <v>42592.68</v>
      </c>
      <c r="D73" s="13" t="str">
        <f t="shared" si="9"/>
        <v>vis</v>
      </c>
      <c r="E73" s="39">
        <f>VLOOKUP(C73,Active!C$21:E$973,3,FALSE)</f>
        <v>97.997470171959904</v>
      </c>
      <c r="F73" s="5" t="s">
        <v>52</v>
      </c>
      <c r="G73" s="13" t="str">
        <f t="shared" si="10"/>
        <v>42592.68</v>
      </c>
      <c r="H73" s="10">
        <f t="shared" si="11"/>
        <v>98</v>
      </c>
      <c r="I73" s="40" t="s">
        <v>263</v>
      </c>
      <c r="J73" s="41" t="s">
        <v>264</v>
      </c>
      <c r="K73" s="40">
        <v>98</v>
      </c>
      <c r="L73" s="40" t="s">
        <v>265</v>
      </c>
      <c r="M73" s="41" t="s">
        <v>67</v>
      </c>
      <c r="N73" s="41"/>
      <c r="O73" s="42" t="s">
        <v>266</v>
      </c>
      <c r="P73" s="42" t="s">
        <v>262</v>
      </c>
    </row>
    <row r="74" spans="1:16" ht="12.75" customHeight="1" thickBot="1" x14ac:dyDescent="0.25">
      <c r="A74" s="10" t="str">
        <f t="shared" si="6"/>
        <v>IBVS 1249 </v>
      </c>
      <c r="B74" s="5" t="str">
        <f t="shared" si="7"/>
        <v>I</v>
      </c>
      <c r="C74" s="10">
        <f t="shared" si="8"/>
        <v>42739.199999999997</v>
      </c>
      <c r="D74" s="13" t="str">
        <f t="shared" si="9"/>
        <v>vis</v>
      </c>
      <c r="E74" s="39">
        <f>VLOOKUP(C74,Active!C$21:E$973,3,FALSE)</f>
        <v>102.00471778742596</v>
      </c>
      <c r="F74" s="5" t="s">
        <v>52</v>
      </c>
      <c r="G74" s="13" t="str">
        <f t="shared" si="10"/>
        <v>42739.2</v>
      </c>
      <c r="H74" s="10">
        <f t="shared" si="11"/>
        <v>102</v>
      </c>
      <c r="I74" s="40" t="s">
        <v>267</v>
      </c>
      <c r="J74" s="41" t="s">
        <v>268</v>
      </c>
      <c r="K74" s="40">
        <v>102</v>
      </c>
      <c r="L74" s="40" t="s">
        <v>269</v>
      </c>
      <c r="M74" s="41" t="s">
        <v>67</v>
      </c>
      <c r="N74" s="41"/>
      <c r="O74" s="42" t="s">
        <v>270</v>
      </c>
      <c r="P74" s="43" t="s">
        <v>271</v>
      </c>
    </row>
    <row r="75" spans="1:16" ht="12.75" customHeight="1" thickBot="1" x14ac:dyDescent="0.25">
      <c r="A75" s="10" t="str">
        <f t="shared" si="6"/>
        <v>IBVS 1623 </v>
      </c>
      <c r="B75" s="5" t="str">
        <f t="shared" si="7"/>
        <v>I</v>
      </c>
      <c r="C75" s="10">
        <f t="shared" si="8"/>
        <v>43909.11</v>
      </c>
      <c r="D75" s="13" t="str">
        <f t="shared" si="9"/>
        <v>vis</v>
      </c>
      <c r="E75" s="39">
        <f>VLOOKUP(C75,Active!C$21:E$973,3,FALSE)</f>
        <v>134.00116235342381</v>
      </c>
      <c r="F75" s="5" t="s">
        <v>52</v>
      </c>
      <c r="G75" s="13" t="str">
        <f t="shared" si="10"/>
        <v>43909.11</v>
      </c>
      <c r="H75" s="10">
        <f t="shared" si="11"/>
        <v>134</v>
      </c>
      <c r="I75" s="40" t="s">
        <v>272</v>
      </c>
      <c r="J75" s="41" t="s">
        <v>273</v>
      </c>
      <c r="K75" s="40">
        <v>134</v>
      </c>
      <c r="L75" s="40" t="s">
        <v>274</v>
      </c>
      <c r="M75" s="41" t="s">
        <v>235</v>
      </c>
      <c r="N75" s="41" t="s">
        <v>236</v>
      </c>
      <c r="O75" s="42" t="s">
        <v>275</v>
      </c>
      <c r="P75" s="43" t="s">
        <v>276</v>
      </c>
    </row>
    <row r="76" spans="1:16" ht="12.75" customHeight="1" thickBot="1" x14ac:dyDescent="0.25">
      <c r="A76" s="10" t="str">
        <f t="shared" si="6"/>
        <v>BAVM 131 </v>
      </c>
      <c r="B76" s="5" t="str">
        <f t="shared" si="7"/>
        <v>I</v>
      </c>
      <c r="C76" s="10">
        <f t="shared" si="8"/>
        <v>48260.67</v>
      </c>
      <c r="D76" s="13" t="str">
        <f t="shared" si="9"/>
        <v>vis</v>
      </c>
      <c r="E76" s="39">
        <f>VLOOKUP(C76,Active!C$21:E$973,3,FALSE)</f>
        <v>253.01411917541273</v>
      </c>
      <c r="F76" s="5" t="s">
        <v>52</v>
      </c>
      <c r="G76" s="13" t="str">
        <f t="shared" si="10"/>
        <v>48260.67</v>
      </c>
      <c r="H76" s="10">
        <f t="shared" si="11"/>
        <v>253</v>
      </c>
      <c r="I76" s="40" t="s">
        <v>277</v>
      </c>
      <c r="J76" s="41" t="s">
        <v>278</v>
      </c>
      <c r="K76" s="40">
        <v>253</v>
      </c>
      <c r="L76" s="40" t="s">
        <v>279</v>
      </c>
      <c r="M76" s="41" t="s">
        <v>54</v>
      </c>
      <c r="N76" s="41"/>
      <c r="O76" s="42" t="s">
        <v>280</v>
      </c>
      <c r="P76" s="43" t="s">
        <v>281</v>
      </c>
    </row>
    <row r="77" spans="1:16" ht="12.75" customHeight="1" thickBot="1" x14ac:dyDescent="0.25">
      <c r="A77" s="10" t="str">
        <f t="shared" si="6"/>
        <v>BAVM 122 </v>
      </c>
      <c r="B77" s="5" t="str">
        <f t="shared" si="7"/>
        <v>I</v>
      </c>
      <c r="C77" s="10">
        <f t="shared" si="8"/>
        <v>51075.64</v>
      </c>
      <c r="D77" s="13" t="str">
        <f t="shared" si="9"/>
        <v>vis</v>
      </c>
      <c r="E77" s="39">
        <f>VLOOKUP(C77,Active!C$21:E$973,3,FALSE)</f>
        <v>330.00211958565512</v>
      </c>
      <c r="F77" s="5" t="s">
        <v>52</v>
      </c>
      <c r="G77" s="13" t="str">
        <f t="shared" si="10"/>
        <v>51075.64</v>
      </c>
      <c r="H77" s="10">
        <f t="shared" si="11"/>
        <v>330</v>
      </c>
      <c r="I77" s="40" t="s">
        <v>282</v>
      </c>
      <c r="J77" s="41" t="s">
        <v>283</v>
      </c>
      <c r="K77" s="40">
        <v>330</v>
      </c>
      <c r="L77" s="40" t="s">
        <v>284</v>
      </c>
      <c r="M77" s="41" t="s">
        <v>67</v>
      </c>
      <c r="N77" s="41"/>
      <c r="O77" s="42" t="s">
        <v>285</v>
      </c>
      <c r="P77" s="43" t="s">
        <v>286</v>
      </c>
    </row>
    <row r="78" spans="1:16" ht="12.75" customHeight="1" thickBot="1" x14ac:dyDescent="0.25">
      <c r="A78" s="10" t="str">
        <f t="shared" si="6"/>
        <v>BAVM 122 </v>
      </c>
      <c r="B78" s="5" t="str">
        <f t="shared" si="7"/>
        <v>I</v>
      </c>
      <c r="C78" s="10">
        <f t="shared" si="8"/>
        <v>51076.160000000003</v>
      </c>
      <c r="D78" s="13" t="str">
        <f t="shared" si="9"/>
        <v>vis</v>
      </c>
      <c r="E78" s="39">
        <f>VLOOKUP(C78,Active!C$21:E$973,3,FALSE)</f>
        <v>330.0163413216643</v>
      </c>
      <c r="F78" s="5" t="s">
        <v>52</v>
      </c>
      <c r="G78" s="13" t="str">
        <f t="shared" si="10"/>
        <v>51076.16</v>
      </c>
      <c r="H78" s="10">
        <f t="shared" si="11"/>
        <v>330</v>
      </c>
      <c r="I78" s="40" t="s">
        <v>287</v>
      </c>
      <c r="J78" s="41" t="s">
        <v>288</v>
      </c>
      <c r="K78" s="40">
        <v>330</v>
      </c>
      <c r="L78" s="40" t="s">
        <v>289</v>
      </c>
      <c r="M78" s="41" t="s">
        <v>67</v>
      </c>
      <c r="N78" s="41"/>
      <c r="O78" s="42" t="s">
        <v>285</v>
      </c>
      <c r="P78" s="43" t="s">
        <v>286</v>
      </c>
    </row>
    <row r="79" spans="1:16" x14ac:dyDescent="0.2">
      <c r="B79" s="5"/>
      <c r="F79" s="5"/>
    </row>
    <row r="80" spans="1:1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</sheetData>
  <phoneticPr fontId="8" type="noConversion"/>
  <hyperlinks>
    <hyperlink ref="P15" r:id="rId1" display="http://www.konkoly.hu/cgi-bin/IBVS?1430"/>
    <hyperlink ref="P16" r:id="rId2" display="http://www.konkoly.hu/cgi-bin/IBVS?1430"/>
    <hyperlink ref="P17" r:id="rId3" display="http://www.konkoly.hu/cgi-bin/IBVS?1430"/>
    <hyperlink ref="P18" r:id="rId4" display="http://www.konkoly.hu/cgi-bin/IBVS?1430"/>
    <hyperlink ref="P19" r:id="rId5" display="http://www.konkoly.hu/cgi-bin/IBVS?1430"/>
    <hyperlink ref="P20" r:id="rId6" display="http://www.konkoly.hu/cgi-bin/IBVS?1430"/>
    <hyperlink ref="P21" r:id="rId7" display="http://www.konkoly.hu/cgi-bin/IBVS?1430"/>
    <hyperlink ref="P22" r:id="rId8" display="http://www.konkoly.hu/cgi-bin/IBVS?1430"/>
    <hyperlink ref="P23" r:id="rId9" display="http://www.konkoly.hu/cgi-bin/IBVS?1430"/>
    <hyperlink ref="P24" r:id="rId10" display="http://www.konkoly.hu/cgi-bin/IBVS?1430"/>
    <hyperlink ref="P25" r:id="rId11" display="http://www.konkoly.hu/cgi-bin/IBVS?1430"/>
    <hyperlink ref="P26" r:id="rId12" display="http://www.konkoly.hu/cgi-bin/IBVS?1430"/>
    <hyperlink ref="P27" r:id="rId13" display="http://www.konkoly.hu/cgi-bin/IBVS?1430"/>
    <hyperlink ref="P74" r:id="rId14" display="http://www.konkoly.hu/cgi-bin/IBVS?1249"/>
    <hyperlink ref="P75" r:id="rId15" display="http://www.konkoly.hu/cgi-bin/IBVS?1623"/>
    <hyperlink ref="P76" r:id="rId16" display="http://www.bav-astro.de/sfs/BAVM_link.php?BAVMnr=131"/>
    <hyperlink ref="P77" r:id="rId17" display="http://www.bav-astro.de/sfs/BAVM_link.php?BAVMnr=122"/>
    <hyperlink ref="P78" r:id="rId18" display="http://www.bav-astro.de/sfs/BAVM_link.php?BAVMnr=122"/>
    <hyperlink ref="P28" r:id="rId19" display="http://www.bav-astro.de/sfs/BAVM_link.php?BAVMnr=132"/>
  </hyperlinks>
  <pageMargins left="0.75" right="0.75" top="1" bottom="1" header="0.5" footer="0.5"/>
  <pageSetup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2024-01-19T05:40:33Z</dcterms:modified>
</cp:coreProperties>
</file>