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49E421B-DE1D-4206-BD9F-FBB13D53D4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3" i="1" l="1"/>
  <c r="D9" i="1"/>
  <c r="C9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42" i="1"/>
  <c r="Q43" i="1"/>
  <c r="Q44" i="1"/>
  <c r="Q46" i="1"/>
  <c r="Q49" i="1"/>
  <c r="Q50" i="1"/>
  <c r="Q51" i="1"/>
  <c r="G21" i="2"/>
  <c r="C21" i="2"/>
  <c r="G41" i="2"/>
  <c r="C41" i="2"/>
  <c r="G40" i="2"/>
  <c r="C40" i="2"/>
  <c r="G39" i="2"/>
  <c r="C39" i="2"/>
  <c r="G20" i="2"/>
  <c r="C20" i="2"/>
  <c r="G19" i="2"/>
  <c r="C19" i="2"/>
  <c r="G38" i="2"/>
  <c r="C38" i="2"/>
  <c r="G18" i="2"/>
  <c r="C18" i="2"/>
  <c r="G37" i="2"/>
  <c r="C37" i="2"/>
  <c r="G36" i="2"/>
  <c r="C36" i="2"/>
  <c r="G35" i="2"/>
  <c r="C35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H21" i="2"/>
  <c r="D21" i="2"/>
  <c r="B21" i="2"/>
  <c r="A21" i="2"/>
  <c r="H41" i="2"/>
  <c r="B41" i="2"/>
  <c r="D41" i="2"/>
  <c r="A41" i="2"/>
  <c r="H40" i="2"/>
  <c r="D40" i="2"/>
  <c r="B40" i="2"/>
  <c r="A40" i="2"/>
  <c r="H39" i="2"/>
  <c r="B39" i="2"/>
  <c r="D39" i="2"/>
  <c r="A39" i="2"/>
  <c r="H20" i="2"/>
  <c r="D20" i="2"/>
  <c r="B20" i="2"/>
  <c r="A20" i="2"/>
  <c r="H19" i="2"/>
  <c r="B19" i="2"/>
  <c r="D19" i="2"/>
  <c r="A19" i="2"/>
  <c r="H38" i="2"/>
  <c r="D38" i="2"/>
  <c r="B38" i="2"/>
  <c r="A38" i="2"/>
  <c r="H18" i="2"/>
  <c r="B18" i="2"/>
  <c r="D18" i="2"/>
  <c r="A18" i="2"/>
  <c r="H37" i="2"/>
  <c r="D37" i="2"/>
  <c r="B37" i="2"/>
  <c r="A37" i="2"/>
  <c r="H36" i="2"/>
  <c r="B36" i="2"/>
  <c r="D36" i="2"/>
  <c r="A36" i="2"/>
  <c r="H35" i="2"/>
  <c r="D35" i="2"/>
  <c r="B35" i="2"/>
  <c r="A35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Q52" i="1"/>
  <c r="Q48" i="1"/>
  <c r="F16" i="1"/>
  <c r="Q47" i="1"/>
  <c r="C17" i="1"/>
  <c r="Q35" i="1"/>
  <c r="Q36" i="1"/>
  <c r="Q37" i="1"/>
  <c r="Q38" i="1"/>
  <c r="Q39" i="1"/>
  <c r="Q40" i="1"/>
  <c r="Q41" i="1"/>
  <c r="Q45" i="1"/>
  <c r="C7" i="1"/>
  <c r="E53" i="1"/>
  <c r="F53" i="1"/>
  <c r="C8" i="1"/>
  <c r="Q25" i="1"/>
  <c r="H25" i="1"/>
  <c r="E22" i="2"/>
  <c r="E30" i="2"/>
  <c r="E18" i="2"/>
  <c r="E40" i="2"/>
  <c r="E37" i="2"/>
  <c r="E14" i="2"/>
  <c r="E38" i="2"/>
  <c r="E33" i="2"/>
  <c r="E27" i="2"/>
  <c r="E20" i="2"/>
  <c r="E39" i="2"/>
  <c r="E12" i="2"/>
  <c r="E47" i="1"/>
  <c r="F47" i="1"/>
  <c r="E35" i="1"/>
  <c r="F35" i="1"/>
  <c r="E50" i="1"/>
  <c r="F50" i="1"/>
  <c r="G34" i="1"/>
  <c r="I34" i="1"/>
  <c r="E32" i="1"/>
  <c r="F32" i="1"/>
  <c r="G32" i="1"/>
  <c r="I32" i="1"/>
  <c r="E23" i="1"/>
  <c r="F23" i="1"/>
  <c r="E40" i="1"/>
  <c r="F40" i="1"/>
  <c r="E44" i="1"/>
  <c r="F44" i="1"/>
  <c r="E29" i="1"/>
  <c r="F29" i="1"/>
  <c r="E48" i="1"/>
  <c r="F48" i="1"/>
  <c r="G48" i="1"/>
  <c r="I48" i="1"/>
  <c r="E37" i="1"/>
  <c r="F37" i="1"/>
  <c r="G37" i="1"/>
  <c r="I37" i="1"/>
  <c r="E34" i="1"/>
  <c r="F34" i="1"/>
  <c r="E26" i="1"/>
  <c r="F26" i="1"/>
  <c r="G26" i="1"/>
  <c r="I26" i="1"/>
  <c r="E45" i="1"/>
  <c r="F45" i="1"/>
  <c r="G45" i="1"/>
  <c r="I45" i="1"/>
  <c r="G36" i="1"/>
  <c r="I36" i="1"/>
  <c r="E49" i="1"/>
  <c r="F49" i="1"/>
  <c r="G49" i="1"/>
  <c r="J49" i="1"/>
  <c r="G33" i="1"/>
  <c r="I33" i="1"/>
  <c r="E31" i="1"/>
  <c r="F31" i="1"/>
  <c r="G31" i="1"/>
  <c r="I31" i="1"/>
  <c r="E22" i="1"/>
  <c r="F22" i="1"/>
  <c r="G22" i="1"/>
  <c r="I22" i="1"/>
  <c r="E39" i="1"/>
  <c r="F39" i="1"/>
  <c r="G39" i="1"/>
  <c r="I39" i="1"/>
  <c r="E43" i="1"/>
  <c r="F43" i="1"/>
  <c r="G43" i="1"/>
  <c r="I43" i="1"/>
  <c r="G30" i="1"/>
  <c r="I30" i="1"/>
  <c r="E28" i="1"/>
  <c r="F28" i="1"/>
  <c r="G28" i="1"/>
  <c r="I28" i="1"/>
  <c r="E52" i="1"/>
  <c r="F52" i="1"/>
  <c r="G52" i="1"/>
  <c r="J52" i="1"/>
  <c r="G38" i="1"/>
  <c r="I38" i="1"/>
  <c r="E36" i="1"/>
  <c r="F36" i="1"/>
  <c r="E51" i="1"/>
  <c r="F51" i="1"/>
  <c r="G51" i="1"/>
  <c r="J51" i="1"/>
  <c r="E33" i="1"/>
  <c r="F33" i="1"/>
  <c r="G27" i="1"/>
  <c r="I27" i="1"/>
  <c r="E24" i="1"/>
  <c r="F24" i="1"/>
  <c r="G24" i="1"/>
  <c r="I24" i="1"/>
  <c r="G53" i="1"/>
  <c r="K53" i="1"/>
  <c r="G47" i="1"/>
  <c r="J47" i="1"/>
  <c r="E41" i="1"/>
  <c r="F41" i="1"/>
  <c r="G41" i="1"/>
  <c r="I41" i="1"/>
  <c r="G35" i="1"/>
  <c r="G50" i="1"/>
  <c r="J50" i="1"/>
  <c r="E46" i="1"/>
  <c r="F46" i="1"/>
  <c r="G46" i="1"/>
  <c r="I46" i="1"/>
  <c r="E30" i="1"/>
  <c r="F30" i="1"/>
  <c r="G23" i="1"/>
  <c r="I23" i="1"/>
  <c r="E25" i="1"/>
  <c r="F25" i="1"/>
  <c r="G40" i="1"/>
  <c r="I40" i="1"/>
  <c r="E38" i="1"/>
  <c r="F38" i="1"/>
  <c r="G44" i="1"/>
  <c r="I44" i="1"/>
  <c r="E42" i="1"/>
  <c r="F42" i="1"/>
  <c r="G42" i="1"/>
  <c r="I42" i="1"/>
  <c r="G29" i="1"/>
  <c r="I29" i="1"/>
  <c r="E27" i="1"/>
  <c r="F27" i="1"/>
  <c r="E21" i="1"/>
  <c r="F21" i="1"/>
  <c r="G21" i="1"/>
  <c r="I21" i="1"/>
  <c r="E16" i="2"/>
  <c r="E36" i="2"/>
  <c r="E26" i="2"/>
  <c r="E15" i="2"/>
  <c r="E29" i="2"/>
  <c r="E41" i="2"/>
  <c r="E32" i="2"/>
  <c r="E19" i="2"/>
  <c r="E21" i="2"/>
  <c r="E35" i="2"/>
  <c r="E17" i="2"/>
  <c r="E31" i="2"/>
  <c r="E23" i="2"/>
  <c r="E25" i="2"/>
  <c r="I35" i="1"/>
  <c r="E11" i="2"/>
  <c r="E34" i="2"/>
  <c r="E24" i="2"/>
  <c r="E13" i="2"/>
  <c r="E28" i="2"/>
  <c r="C11" i="1"/>
  <c r="C12" i="1"/>
  <c r="C16" i="1" l="1"/>
  <c r="D18" i="1" s="1"/>
  <c r="O39" i="1"/>
  <c r="O40" i="1"/>
  <c r="C15" i="1"/>
  <c r="O34" i="1"/>
  <c r="O48" i="1"/>
  <c r="O26" i="1"/>
  <c r="O27" i="1"/>
  <c r="O47" i="1"/>
  <c r="O37" i="1"/>
  <c r="O45" i="1"/>
  <c r="O29" i="1"/>
  <c r="O46" i="1"/>
  <c r="O42" i="1"/>
  <c r="O41" i="1"/>
  <c r="O22" i="1"/>
  <c r="O52" i="1"/>
  <c r="O21" i="1"/>
  <c r="O24" i="1"/>
  <c r="O31" i="1"/>
  <c r="O51" i="1"/>
  <c r="O53" i="1"/>
  <c r="O36" i="1"/>
  <c r="O50" i="1"/>
  <c r="O35" i="1"/>
  <c r="O23" i="1"/>
  <c r="O30" i="1"/>
  <c r="O33" i="1"/>
  <c r="O49" i="1"/>
  <c r="O44" i="1"/>
  <c r="O32" i="1"/>
  <c r="O38" i="1"/>
  <c r="O28" i="1"/>
  <c r="O43" i="1"/>
  <c r="F17" i="1"/>
  <c r="C18" i="1" l="1"/>
  <c r="F18" i="1"/>
  <c r="F19" i="1" s="1"/>
</calcChain>
</file>

<file path=xl/sharedStrings.xml><?xml version="1.0" encoding="utf-8"?>
<sst xmlns="http://schemas.openxmlformats.org/spreadsheetml/2006/main" count="373" uniqueCount="186">
  <si>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</si>
  <si>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</si>
  <si>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</si>
  <si>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</si>
  <si>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</si>
  <si>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</si>
  <si>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</si>
  <si>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</si>
  <si>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</si>
  <si>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</si>
  <si>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</si>
  <si>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</si>
  <si>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</si>
  <si>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</si>
  <si>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</si>
  <si>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</si>
  <si>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</si>
  <si>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</si>
  <si>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</si>
  <si>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</si>
  <si>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</si>
  <si>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</si>
  <si>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</si>
  <si>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</si>
  <si>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</si>
  <si>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</si>
  <si>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</si>
  <si>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</si>
  <si>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</si>
  <si>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</si>
  <si>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Bull.58</t>
  </si>
  <si>
    <t>B</t>
  </si>
  <si>
    <t>BBSAG Bull.62</t>
  </si>
  <si>
    <t>BBSAG Bull.68</t>
  </si>
  <si>
    <t>Elias D</t>
  </si>
  <si>
    <t>BBSAG Bull.73</t>
  </si>
  <si>
    <t>BBSAG Bull.77</t>
  </si>
  <si>
    <t>BBSAG Bull.84</t>
  </si>
  <si>
    <t>BBSAG Bull.86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</si>
  <si>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</si>
  <si>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</si>
  <si>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</si>
  <si>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</si>
  <si>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</si>
  <si>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</si>
  <si>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</si>
  <si>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</si>
  <si>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</si>
  <si>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</si>
  <si>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</si>
  <si>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</si>
  <si>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</si>
  <si>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</si>
  <si>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</si>
  <si>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</si>
  <si>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</si>
  <si>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</si>
  <si>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</si>
  <si>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</si>
  <si>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</si>
  <si>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</si>
  <si>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</si>
  <si>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</si>
  <si>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</si>
  <si>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2428335.466 </t>
  </si>
  <si>
    <t> 15.06.1936 23:11 </t>
  </si>
  <si>
    <t> -0.012 </t>
  </si>
  <si>
    <t>P </t>
  </si>
  <si>
    <t> H.Huth </t>
  </si>
  <si>
    <t> VSS 4.156 </t>
  </si>
  <si>
    <t>2429187.279 </t>
  </si>
  <si>
    <t> 15.10.1938 18:41 </t>
  </si>
  <si>
    <t> -0.026 </t>
  </si>
  <si>
    <t>2429494.567 </t>
  </si>
  <si>
    <t> 19.08.1939 01:36 </t>
  </si>
  <si>
    <t> -0.029 </t>
  </si>
  <si>
    <t>2429824.507 </t>
  </si>
  <si>
    <t> 14.07.1940 00:10 </t>
  </si>
  <si>
    <t> 0.026 </t>
  </si>
  <si>
    <t>2430260.572 </t>
  </si>
  <si>
    <t> 23.09.1941 01:43 </t>
  </si>
  <si>
    <t> 0.009 </t>
  </si>
  <si>
    <t>2430319.341 </t>
  </si>
  <si>
    <t> 20.11.1941 20:11 </t>
  </si>
  <si>
    <t> 0.031 </t>
  </si>
  <si>
    <t>2430999.452 </t>
  </si>
  <si>
    <t> 01.10.1943 22:50 </t>
  </si>
  <si>
    <t> 0.036 </t>
  </si>
  <si>
    <t>2432888.349 </t>
  </si>
  <si>
    <t> 02.12.1948 20:22 </t>
  </si>
  <si>
    <t> -0.001 </t>
  </si>
  <si>
    <t>2433159.543 </t>
  </si>
  <si>
    <t> 31.08.1949 01:01 </t>
  </si>
  <si>
    <t> 0.054 </t>
  </si>
  <si>
    <t>2433568.469 </t>
  </si>
  <si>
    <t> 13.10.1950 23:15 </t>
  </si>
  <si>
    <t> 0.013 </t>
  </si>
  <si>
    <t>2433925.489 </t>
  </si>
  <si>
    <t> 05.10.1951 23:44 </t>
  </si>
  <si>
    <t> 0.033 </t>
  </si>
  <si>
    <t>2433950.397 </t>
  </si>
  <si>
    <t> 30.10.1951 21:31 </t>
  </si>
  <si>
    <t> 0.087 </t>
  </si>
  <si>
    <t>2433977.396 </t>
  </si>
  <si>
    <t> 26.11.1951 21:30 </t>
  </si>
  <si>
    <t> -0.028 </t>
  </si>
  <si>
    <t>2444956.283 </t>
  </si>
  <si>
    <t> 17.12.1981 18:47 </t>
  </si>
  <si>
    <t>V </t>
  </si>
  <si>
    <t> K.Locher </t>
  </si>
  <si>
    <t> BBS 58 </t>
  </si>
  <si>
    <t>2445211.593 </t>
  </si>
  <si>
    <t> 30.08.1982 02:13 </t>
  </si>
  <si>
    <t> -0.015 </t>
  </si>
  <si>
    <t> BBS 62 </t>
  </si>
  <si>
    <t>2445559.568 </t>
  </si>
  <si>
    <t> 13.08.1983 01:37 </t>
  </si>
  <si>
    <t> -0.002 </t>
  </si>
  <si>
    <t> BBS 68 </t>
  </si>
  <si>
    <t>2445898.455 </t>
  </si>
  <si>
    <t> 16.07.1984 22:55 </t>
  </si>
  <si>
    <t> -0.038 </t>
  </si>
  <si>
    <t> D.Elias </t>
  </si>
  <si>
    <t> BBS 73 </t>
  </si>
  <si>
    <t>2445898.458 </t>
  </si>
  <si>
    <t> 16.07.1984 22:59 </t>
  </si>
  <si>
    <t> -0.035 </t>
  </si>
  <si>
    <t>2446255.468 </t>
  </si>
  <si>
    <t> 08.07.1985 23:13 </t>
  </si>
  <si>
    <t> -0.025 </t>
  </si>
  <si>
    <t> BBS 77 </t>
  </si>
  <si>
    <t>2446987.525 </t>
  </si>
  <si>
    <t> 11.07.1987 00:36 </t>
  </si>
  <si>
    <t> -0.042 </t>
  </si>
  <si>
    <t> BBS 84 </t>
  </si>
  <si>
    <t>2447039.482 </t>
  </si>
  <si>
    <t> 31.08.1987 23:34 </t>
  </si>
  <si>
    <t> -0.054 </t>
  </si>
  <si>
    <t> J.Borovicka </t>
  </si>
  <si>
    <t> BRNO 30 </t>
  </si>
  <si>
    <t> V.Wagner </t>
  </si>
  <si>
    <t>2447039.483 </t>
  </si>
  <si>
    <t> 31.08.1987 23:35 </t>
  </si>
  <si>
    <t> -0.053 </t>
  </si>
  <si>
    <t> A.Slatinsky </t>
  </si>
  <si>
    <t>2447107.262 </t>
  </si>
  <si>
    <t> 07.11.1987 18:17 </t>
  </si>
  <si>
    <t> -0.058 </t>
  </si>
  <si>
    <t> BBS 86 </t>
  </si>
  <si>
    <t>2452150.416 </t>
  </si>
  <si>
    <t> 28.08.2001 21:59 </t>
  </si>
  <si>
    <t> -0.086 </t>
  </si>
  <si>
    <t> BBS 126 </t>
  </si>
  <si>
    <t>2454389.5328 </t>
  </si>
  <si>
    <t> 16.10.2007 00:47 </t>
  </si>
  <si>
    <t> -0.1239 </t>
  </si>
  <si>
    <t>C </t>
  </si>
  <si>
    <t>o</t>
  </si>
  <si>
    <t> M.&amp; C.Rätz </t>
  </si>
  <si>
    <t>BAVM 201 </t>
  </si>
  <si>
    <t>2454432.465 </t>
  </si>
  <si>
    <t> 27.11.2007 23:09 </t>
  </si>
  <si>
    <t> -0.122 </t>
  </si>
  <si>
    <t> A.Paschke </t>
  </si>
  <si>
    <t>OEJV 0116 </t>
  </si>
  <si>
    <t>2455067.3733 </t>
  </si>
  <si>
    <t> 23.08.2009 20:57 </t>
  </si>
  <si>
    <t> -0.1304 </t>
  </si>
  <si>
    <t>-I</t>
  </si>
  <si>
    <t> F.Agerer </t>
  </si>
  <si>
    <t>BAVM 212 </t>
  </si>
  <si>
    <t>2455076.4035 </t>
  </si>
  <si>
    <t> 01.09.2009 21:41 </t>
  </si>
  <si>
    <t>10983</t>
  </si>
  <si>
    <t> -0.1382 </t>
  </si>
  <si>
    <t>2455155.4922 </t>
  </si>
  <si>
    <t> 19.11.2009 23:48 </t>
  </si>
  <si>
    <t>11018</t>
  </si>
  <si>
    <t> -0.1316 </t>
  </si>
  <si>
    <t>2455460.5219 </t>
  </si>
  <si>
    <t> 21.09.2010 00:31 </t>
  </si>
  <si>
    <t>11153</t>
  </si>
  <si>
    <t> -0.1331 </t>
  </si>
  <si>
    <t>BAVM 215 </t>
  </si>
  <si>
    <t>OEJV 0116</t>
  </si>
  <si>
    <t>V0355 Cas / GSC 04007-01293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</si>
</sst>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5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6" fontId="15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V0355 Cas - O-C Diagr.</a:t>
            </a:r>
          </a:p>
        </c:rich>
      </c:tx>
      <c:layout>
        <c:manualLayout>
          <c:xMode val="edge"/>
          <c:yMode val="edge"/>
          <c:x val="0.326446714821804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B-45BA-8FF2-B7FF894E73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-1.1519999996380648E-2</c:v>
                </c:pt>
                <c:pt idx="1">
                  <c:v>-2.6249999998981366E-2</c:v>
                </c:pt>
                <c:pt idx="2">
                  <c:v>-2.8889999997772975E-2</c:v>
                </c:pt>
                <c:pt idx="3">
                  <c:v>2.5570000001607696E-2</c:v>
                </c:pt>
                <c:pt idx="5">
                  <c:v>9.0000000018335413E-3</c:v>
                </c:pt>
                <c:pt idx="6">
                  <c:v>3.1260000003385358E-2</c:v>
                </c:pt>
                <c:pt idx="7">
                  <c:v>3.5770000002230518E-2</c:v>
                </c:pt>
                <c:pt idx="8">
                  <c:v>-8.6999999621184543E-4</c:v>
                </c:pt>
                <c:pt idx="9">
                  <c:v>5.4329999999026768E-2</c:v>
                </c:pt>
                <c:pt idx="10">
                  <c:v>1.2640000000828877E-2</c:v>
                </c:pt>
                <c:pt idx="11">
                  <c:v>3.3220000004803296E-2</c:v>
                </c:pt>
                <c:pt idx="12">
                  <c:v>8.6830000000190921E-2</c:v>
                </c:pt>
                <c:pt idx="13">
                  <c:v>-2.8050000000803266E-2</c:v>
                </c:pt>
                <c:pt idx="14">
                  <c:v>-2.959999990707729E-3</c:v>
                </c:pt>
                <c:pt idx="15">
                  <c:v>-1.5330000001995359E-2</c:v>
                </c:pt>
                <c:pt idx="16">
                  <c:v>-1.7899999947985634E-3</c:v>
                </c:pt>
                <c:pt idx="17">
                  <c:v>-3.8289999996777624E-2</c:v>
                </c:pt>
                <c:pt idx="18">
                  <c:v>-3.5289999999804422E-2</c:v>
                </c:pt>
                <c:pt idx="19">
                  <c:v>-2.4709999997867271E-2</c:v>
                </c:pt>
                <c:pt idx="20">
                  <c:v>-4.2469999993045349E-2</c:v>
                </c:pt>
                <c:pt idx="21">
                  <c:v>-5.3739999995741528E-2</c:v>
                </c:pt>
                <c:pt idx="22">
                  <c:v>-5.3739999995741528E-2</c:v>
                </c:pt>
                <c:pt idx="23">
                  <c:v>-5.273999999917578E-2</c:v>
                </c:pt>
                <c:pt idx="24">
                  <c:v>-5.8439999993424863E-2</c:v>
                </c:pt>
                <c:pt idx="25">
                  <c:v>-8.6119999999937136E-2</c:v>
                </c:pt>
                <c:pt idx="27">
                  <c:v>-0.12202000000252156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B-45BA-8FF2-B7FF894E73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6">
                  <c:v>-0.12390999999479391</c:v>
                </c:pt>
                <c:pt idx="28">
                  <c:v>-0.13040999999793712</c:v>
                </c:pt>
                <c:pt idx="29">
                  <c:v>-0.13816999999835389</c:v>
                </c:pt>
                <c:pt idx="30">
                  <c:v>-0.1316199999928358</c:v>
                </c:pt>
                <c:pt idx="31">
                  <c:v>-0.13307000000349944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0B-45BA-8FF2-B7FF894E73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-0.149039999996603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0B-45BA-8FF2-B7FF894E73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0B-45BA-8FF2-B7FF894E73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0B-45BA-8FF2-B7FF894E73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0.01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2.0999999999999999E-3</c:v>
                  </c:pt>
                  <c:pt idx="3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0B-45BA-8FF2-B7FF894E73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-852</c:v>
                </c:pt>
                <c:pt idx="1">
                  <c:v>-475</c:v>
                </c:pt>
                <c:pt idx="2">
                  <c:v>-339</c:v>
                </c:pt>
                <c:pt idx="3">
                  <c:v>-193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327</c:v>
                </c:pt>
                <c:pt idx="8">
                  <c:v>1163</c:v>
                </c:pt>
                <c:pt idx="9">
                  <c:v>1283</c:v>
                </c:pt>
                <c:pt idx="10">
                  <c:v>1464</c:v>
                </c:pt>
                <c:pt idx="11">
                  <c:v>1622</c:v>
                </c:pt>
                <c:pt idx="12">
                  <c:v>1633</c:v>
                </c:pt>
                <c:pt idx="13">
                  <c:v>1645</c:v>
                </c:pt>
                <c:pt idx="14">
                  <c:v>6504</c:v>
                </c:pt>
                <c:pt idx="15">
                  <c:v>6617</c:v>
                </c:pt>
                <c:pt idx="16">
                  <c:v>6771</c:v>
                </c:pt>
                <c:pt idx="17">
                  <c:v>6921</c:v>
                </c:pt>
                <c:pt idx="18">
                  <c:v>6921</c:v>
                </c:pt>
                <c:pt idx="19">
                  <c:v>7079</c:v>
                </c:pt>
                <c:pt idx="20">
                  <c:v>7403</c:v>
                </c:pt>
                <c:pt idx="21">
                  <c:v>7426</c:v>
                </c:pt>
                <c:pt idx="22">
                  <c:v>7426</c:v>
                </c:pt>
                <c:pt idx="23">
                  <c:v>7426</c:v>
                </c:pt>
                <c:pt idx="24">
                  <c:v>7456</c:v>
                </c:pt>
                <c:pt idx="25">
                  <c:v>9688</c:v>
                </c:pt>
                <c:pt idx="26">
                  <c:v>10679</c:v>
                </c:pt>
                <c:pt idx="27">
                  <c:v>10698</c:v>
                </c:pt>
                <c:pt idx="28">
                  <c:v>10979</c:v>
                </c:pt>
                <c:pt idx="29">
                  <c:v>10983</c:v>
                </c:pt>
                <c:pt idx="30">
                  <c:v>11018</c:v>
                </c:pt>
                <c:pt idx="31">
                  <c:v>11153</c:v>
                </c:pt>
                <c:pt idx="32">
                  <c:v>11966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0.16409915019243868</c:v>
                </c:pt>
                <c:pt idx="1">
                  <c:v>0.15471741456454757</c:v>
                </c:pt>
                <c:pt idx="2">
                  <c:v>0.15133302187119693</c:v>
                </c:pt>
                <c:pt idx="3">
                  <c:v>0.14769977677392343</c:v>
                </c:pt>
                <c:pt idx="5">
                  <c:v>0.14289692537821261</c:v>
                </c:pt>
                <c:pt idx="6">
                  <c:v>0.14224990912801322</c:v>
                </c:pt>
                <c:pt idx="7">
                  <c:v>0.1347594517699357</c:v>
                </c:pt>
                <c:pt idx="8">
                  <c:v>0.11395539080198616</c:v>
                </c:pt>
                <c:pt idx="9">
                  <c:v>0.11096916195491208</c:v>
                </c:pt>
                <c:pt idx="10">
                  <c:v>0.10646493344390864</c:v>
                </c:pt>
                <c:pt idx="11">
                  <c:v>0.10253306546192775</c:v>
                </c:pt>
                <c:pt idx="12">
                  <c:v>0.10225932781761263</c:v>
                </c:pt>
                <c:pt idx="13">
                  <c:v>0.10196070493290522</c:v>
                </c:pt>
                <c:pt idx="14">
                  <c:v>-1.8956678133203342E-2</c:v>
                </c:pt>
                <c:pt idx="15">
                  <c:v>-2.1768710297531441E-2</c:v>
                </c:pt>
                <c:pt idx="16">
                  <c:v>-2.5601037317943193E-2</c:v>
                </c:pt>
                <c:pt idx="17">
                  <c:v>-2.9333823376785834E-2</c:v>
                </c:pt>
                <c:pt idx="18">
                  <c:v>-2.9333823376785834E-2</c:v>
                </c:pt>
                <c:pt idx="19">
                  <c:v>-3.3265691358766725E-2</c:v>
                </c:pt>
                <c:pt idx="20">
                  <c:v>-4.1328509245866785E-2</c:v>
                </c:pt>
                <c:pt idx="21">
                  <c:v>-4.1900869774889299E-2</c:v>
                </c:pt>
                <c:pt idx="22">
                  <c:v>-4.1900869774889299E-2</c:v>
                </c:pt>
                <c:pt idx="23">
                  <c:v>-4.1900869774889299E-2</c:v>
                </c:pt>
                <c:pt idx="24">
                  <c:v>-4.2647426986657827E-2</c:v>
                </c:pt>
                <c:pt idx="25">
                  <c:v>-9.8191283542235996E-2</c:v>
                </c:pt>
                <c:pt idx="26">
                  <c:v>-0.12285255677098958</c:v>
                </c:pt>
                <c:pt idx="27">
                  <c:v>-0.12332537633844295</c:v>
                </c:pt>
                <c:pt idx="28">
                  <c:v>-0.13031812888867481</c:v>
                </c:pt>
                <c:pt idx="29">
                  <c:v>-0.13041766985024392</c:v>
                </c:pt>
                <c:pt idx="30">
                  <c:v>-0.1312886532639739</c:v>
                </c:pt>
                <c:pt idx="31">
                  <c:v>-0.13464816071693222</c:v>
                </c:pt>
                <c:pt idx="32">
                  <c:v>-0.15487986115585925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0B-45BA-8FF2-B7FF894E7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53040"/>
        <c:axId val="1"/>
      </c:scatterChart>
      <c:valAx>
        <c:axId val="59845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5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190500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EE2E7C-3D1F-CC24-AE10-4BEAEE3EE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7"/>
  <sheetViews>
    <sheetView tabSelected="1" workbookViewId="0">
      <pane xSplit="11" ySplit="22" topLeftCell="L35" activePane="bottomRight" state="frozen"/>
      <selection pane="topRight" activeCell="L1" sqref="L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54" t="s">
        <v>185</v>
      </c>
    </row>
    <row r="2" spans="1:6">
      <c r="A2" t="s">
        <v>25</v>
      </c>
      <c r="B2" s="11" t="s">
        <v>40</v>
      </c>
    </row>
    <row r="4" spans="1:6" ht="14.25" thickTop="1" thickBot="1">
      <c r="A4" s="5" t="s">
        <v>1</v>
      </c>
      <c r="C4" s="2">
        <v>30260.562999999998</v>
      </c>
      <c r="D4" s="3">
        <v>2.25949</v>
      </c>
    </row>
    <row r="5" spans="1:6" ht="13.5" thickTop="1">
      <c r="A5" s="12" t="s">
        <v>41</v>
      </c>
      <c r="B5" s="13"/>
      <c r="C5" s="14">
        <v>-9.5</v>
      </c>
      <c r="D5" s="13" t="s">
        <v>42</v>
      </c>
    </row>
    <row r="6" spans="1:6">
      <c r="A6" s="5" t="s">
        <v>2</v>
      </c>
    </row>
    <row r="7" spans="1:6">
      <c r="A7" t="s">
        <v>3</v>
      </c>
      <c r="C7">
        <f>+C4</f>
        <v>30260.562999999998</v>
      </c>
    </row>
    <row r="8" spans="1:6">
      <c r="A8" t="s">
        <v>4</v>
      </c>
      <c r="C8">
        <f>+D4</f>
        <v>2.25949</v>
      </c>
    </row>
    <row r="9" spans="1:6">
      <c r="A9" s="27" t="s">
        <v>46</v>
      </c>
      <c r="B9" s="28">
        <v>35</v>
      </c>
      <c r="C9" s="17" t="str">
        <f>"F"&amp;B9</f>
        <v>F35</v>
      </c>
      <c r="D9" s="8" t="str">
        <f>"G"&amp;B9</f>
        <v>G35</v>
      </c>
    </row>
    <row r="10" spans="1:6" ht="13.5" thickBot="1">
      <c r="A10" s="13"/>
      <c r="B10" s="13"/>
      <c r="C10" s="4" t="s">
        <v>21</v>
      </c>
      <c r="D10" s="4" t="s">
        <v>22</v>
      </c>
      <c r="E10" s="13"/>
    </row>
    <row r="11" spans="1:6">
      <c r="A11" s="13" t="s">
        <v>17</v>
      </c>
      <c r="B11" s="13"/>
      <c r="C11" s="15">
        <f ca="1">INTERCEPT(INDIRECT($D$9):G992,INDIRECT($C$9):F992)</f>
        <v>0.14289692537821261</v>
      </c>
      <c r="D11" s="16"/>
      <c r="E11" s="13"/>
    </row>
    <row r="12" spans="1:6">
      <c r="A12" s="13" t="s">
        <v>18</v>
      </c>
      <c r="B12" s="13"/>
      <c r="C12" s="15">
        <f ca="1">SLOPE(INDIRECT($D$9):G992,INDIRECT($C$9):F992)</f>
        <v>-2.4885240392284126E-5</v>
      </c>
      <c r="D12" s="16"/>
      <c r="E12" s="13"/>
    </row>
    <row r="13" spans="1:6">
      <c r="A13" s="13" t="s">
        <v>20</v>
      </c>
      <c r="B13" s="13"/>
      <c r="C13" s="16" t="s">
        <v>15</v>
      </c>
    </row>
    <row r="14" spans="1:6">
      <c r="A14" s="13"/>
      <c r="B14" s="13"/>
      <c r="C14" s="13"/>
    </row>
    <row r="15" spans="1:6">
      <c r="A15" s="18" t="s">
        <v>19</v>
      </c>
      <c r="B15" s="13"/>
      <c r="C15" s="19">
        <f ca="1">(C7+C11)+(C8+C12)*INT(MAX(F21:F3533))</f>
        <v>57297.465460138847</v>
      </c>
      <c r="E15" s="20" t="s">
        <v>49</v>
      </c>
      <c r="F15" s="14">
        <v>1</v>
      </c>
    </row>
    <row r="16" spans="1:6">
      <c r="A16" s="22" t="s">
        <v>5</v>
      </c>
      <c r="B16" s="13"/>
      <c r="C16" s="23">
        <f ca="1">+C8+C12</f>
        <v>2.2594651147596077</v>
      </c>
      <c r="E16" s="20" t="s">
        <v>43</v>
      </c>
      <c r="F16" s="21">
        <f ca="1">NOW()+15018.5+$C$5/24</f>
        <v>60328.788334027777</v>
      </c>
    </row>
    <row r="17" spans="1:17" ht="13.5" thickBot="1">
      <c r="A17" s="20" t="s">
        <v>39</v>
      </c>
      <c r="B17" s="13"/>
      <c r="C17" s="13">
        <f>COUNT(C21:C2191)</f>
        <v>33</v>
      </c>
      <c r="E17" s="20" t="s">
        <v>50</v>
      </c>
      <c r="F17" s="21">
        <f ca="1">ROUND(2*(F16-$C$7)/$C$8,0)/2+F15</f>
        <v>13308.5</v>
      </c>
    </row>
    <row r="18" spans="1:17" ht="14.25" thickTop="1" thickBot="1">
      <c r="A18" s="22" t="s">
        <v>6</v>
      </c>
      <c r="B18" s="13"/>
      <c r="C18" s="25">
        <f ca="1">+C15</f>
        <v>57297.465460138847</v>
      </c>
      <c r="D18" s="26">
        <f ca="1">+C16</f>
        <v>2.2594651147596077</v>
      </c>
      <c r="E18" s="20" t="s">
        <v>44</v>
      </c>
      <c r="F18" s="8">
        <f ca="1">ROUND(2*(F16-$C$15)/$C$16,0)/2+F15</f>
        <v>1342.5</v>
      </c>
    </row>
    <row r="19" spans="1:17" ht="13.5" thickTop="1">
      <c r="E19" s="20" t="s">
        <v>45</v>
      </c>
      <c r="F19" s="24">
        <f ca="1">+$C$15+$C$16*F18-15018.5-$C$5/24</f>
        <v>45312.693210036952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ht="12.75" customHeight="1">
      <c r="A21" s="49" t="s">
        <v>69</v>
      </c>
      <c r="B21" s="50" t="s">
        <v>48</v>
      </c>
      <c r="C21" s="49">
        <v>28335.466</v>
      </c>
      <c r="D21" s="49" t="s">
        <v>62</v>
      </c>
      <c r="E21">
        <f t="shared" ref="E21:E52" si="0">+(C21-C$7)/C$8</f>
        <v>-852.00509849567732</v>
      </c>
      <c r="F21">
        <f t="shared" ref="F21:F53" si="1">ROUND(2*E21,0)/2</f>
        <v>-852</v>
      </c>
      <c r="G21">
        <f>+C21-(C$7+F21*C$8)</f>
        <v>-1.1519999996380648E-2</v>
      </c>
      <c r="I21">
        <f>+G21</f>
        <v>-1.1519999996380648E-2</v>
      </c>
      <c r="O21">
        <f ca="1">+C$11+C$12*F21</f>
        <v>0.16409915019243868</v>
      </c>
      <c r="Q21" s="1">
        <f t="shared" ref="Q21:Q52" si="2">+C21-15018.5</f>
        <v>13316.966</v>
      </c>
    </row>
    <row r="22" spans="1:17" ht="12.75" customHeight="1">
      <c r="A22" s="49" t="s">
        <v>69</v>
      </c>
      <c r="B22" s="50" t="s">
        <v>48</v>
      </c>
      <c r="C22" s="49">
        <v>29187.278999999999</v>
      </c>
      <c r="D22" s="49" t="s">
        <v>62</v>
      </c>
      <c r="E22">
        <f t="shared" si="0"/>
        <v>-475.01161766593333</v>
      </c>
      <c r="F22">
        <f t="shared" si="1"/>
        <v>-475</v>
      </c>
      <c r="G22">
        <f>+C22-(C$7+F22*C$8)</f>
        <v>-2.6249999998981366E-2</v>
      </c>
      <c r="I22">
        <f>+G22</f>
        <v>-2.6249999998981366E-2</v>
      </c>
      <c r="O22">
        <f ca="1">+C$11+C$12*F22</f>
        <v>0.15471741456454757</v>
      </c>
      <c r="Q22" s="1">
        <f t="shared" si="2"/>
        <v>14168.778999999999</v>
      </c>
    </row>
    <row r="23" spans="1:17" ht="12.75" customHeight="1">
      <c r="A23" s="49" t="s">
        <v>69</v>
      </c>
      <c r="B23" s="50" t="s">
        <v>48</v>
      </c>
      <c r="C23" s="49">
        <v>29494.566999999999</v>
      </c>
      <c r="D23" s="49" t="s">
        <v>62</v>
      </c>
      <c r="E23">
        <f t="shared" si="0"/>
        <v>-339.01278607119269</v>
      </c>
      <c r="F23">
        <f t="shared" si="1"/>
        <v>-339</v>
      </c>
      <c r="G23">
        <f>+C23-(C$7+F23*C$8)</f>
        <v>-2.8889999997772975E-2</v>
      </c>
      <c r="I23">
        <f>+G23</f>
        <v>-2.8889999997772975E-2</v>
      </c>
      <c r="O23">
        <f ca="1">+C$11+C$12*F23</f>
        <v>0.15133302187119693</v>
      </c>
      <c r="Q23" s="1">
        <f t="shared" si="2"/>
        <v>14476.066999999999</v>
      </c>
    </row>
    <row r="24" spans="1:17" ht="12.75" customHeight="1">
      <c r="A24" s="49" t="s">
        <v>69</v>
      </c>
      <c r="B24" s="50" t="s">
        <v>48</v>
      </c>
      <c r="C24" s="49">
        <v>29824.507000000001</v>
      </c>
      <c r="D24" s="49" t="s">
        <v>62</v>
      </c>
      <c r="E24">
        <f t="shared" si="0"/>
        <v>-192.98868328693504</v>
      </c>
      <c r="F24">
        <f t="shared" si="1"/>
        <v>-193</v>
      </c>
      <c r="G24">
        <f>+C24-(C$7+F24*C$8)</f>
        <v>2.5570000001607696E-2</v>
      </c>
      <c r="I24">
        <f>+G24</f>
        <v>2.5570000001607696E-2</v>
      </c>
      <c r="O24">
        <f ca="1">+C$11+C$12*F24</f>
        <v>0.14769977677392343</v>
      </c>
      <c r="Q24" s="1">
        <f t="shared" si="2"/>
        <v>14806.007000000001</v>
      </c>
    </row>
    <row r="25" spans="1:17" ht="12.75" customHeight="1">
      <c r="A25" t="s">
        <v>13</v>
      </c>
      <c r="C25" s="9">
        <v>30260.562999999998</v>
      </c>
      <c r="D25" s="9" t="s">
        <v>15</v>
      </c>
      <c r="E25">
        <f t="shared" si="0"/>
        <v>0</v>
      </c>
      <c r="F25">
        <f t="shared" si="1"/>
        <v>0</v>
      </c>
      <c r="H25" s="8">
        <f>+G25</f>
        <v>0</v>
      </c>
      <c r="Q25" s="1">
        <f t="shared" si="2"/>
        <v>15242.062999999998</v>
      </c>
    </row>
    <row r="26" spans="1:17" ht="12.75" customHeight="1">
      <c r="A26" s="49" t="s">
        <v>69</v>
      </c>
      <c r="B26" s="50" t="s">
        <v>48</v>
      </c>
      <c r="C26" s="49">
        <v>30260.572</v>
      </c>
      <c r="D26" s="49" t="s">
        <v>62</v>
      </c>
      <c r="E26">
        <f t="shared" si="0"/>
        <v>3.9831997494273229E-3</v>
      </c>
      <c r="F26">
        <f t="shared" si="1"/>
        <v>0</v>
      </c>
      <c r="G26">
        <f t="shared" ref="G26:G52" si="3">+C26-(C$7+F26*C$8)</f>
        <v>9.0000000018335413E-3</v>
      </c>
      <c r="I26">
        <f t="shared" ref="I26:I46" si="4">+G26</f>
        <v>9.0000000018335413E-3</v>
      </c>
      <c r="O26">
        <f t="shared" ref="O26:O52" ca="1" si="5">+C$11+C$12*F26</f>
        <v>0.14289692537821261</v>
      </c>
      <c r="Q26" s="1">
        <f t="shared" si="2"/>
        <v>15242.072</v>
      </c>
    </row>
    <row r="27" spans="1:17" ht="12.75" customHeight="1">
      <c r="A27" s="49" t="s">
        <v>69</v>
      </c>
      <c r="B27" s="50" t="s">
        <v>48</v>
      </c>
      <c r="C27" s="49">
        <v>30319.341</v>
      </c>
      <c r="D27" s="49" t="s">
        <v>62</v>
      </c>
      <c r="E27">
        <f t="shared" si="0"/>
        <v>26.013834980461105</v>
      </c>
      <c r="F27">
        <f t="shared" si="1"/>
        <v>26</v>
      </c>
      <c r="G27">
        <f t="shared" si="3"/>
        <v>3.1260000003385358E-2</v>
      </c>
      <c r="I27">
        <f t="shared" si="4"/>
        <v>3.1260000003385358E-2</v>
      </c>
      <c r="O27">
        <f t="shared" ca="1" si="5"/>
        <v>0.14224990912801322</v>
      </c>
      <c r="Q27" s="1">
        <f t="shared" si="2"/>
        <v>15300.841</v>
      </c>
    </row>
    <row r="28" spans="1:17" ht="12.75" customHeight="1">
      <c r="A28" s="49" t="s">
        <v>69</v>
      </c>
      <c r="B28" s="50" t="s">
        <v>48</v>
      </c>
      <c r="C28" s="49">
        <v>30999.452000000001</v>
      </c>
      <c r="D28" s="49" t="s">
        <v>62</v>
      </c>
      <c r="E28">
        <f t="shared" si="0"/>
        <v>327.01583100611327</v>
      </c>
      <c r="F28">
        <f t="shared" si="1"/>
        <v>327</v>
      </c>
      <c r="G28">
        <f t="shared" si="3"/>
        <v>3.5770000002230518E-2</v>
      </c>
      <c r="I28">
        <f t="shared" si="4"/>
        <v>3.5770000002230518E-2</v>
      </c>
      <c r="O28">
        <f t="shared" ca="1" si="5"/>
        <v>0.1347594517699357</v>
      </c>
      <c r="Q28" s="1">
        <f t="shared" si="2"/>
        <v>15980.952000000001</v>
      </c>
    </row>
    <row r="29" spans="1:17" ht="12.75" customHeight="1">
      <c r="A29" s="49" t="s">
        <v>69</v>
      </c>
      <c r="B29" s="50" t="s">
        <v>48</v>
      </c>
      <c r="C29" s="49">
        <v>32888.349000000002</v>
      </c>
      <c r="D29" s="49" t="s">
        <v>62</v>
      </c>
      <c r="E29">
        <f t="shared" si="0"/>
        <v>1162.9996149573592</v>
      </c>
      <c r="F29">
        <f t="shared" si="1"/>
        <v>1163</v>
      </c>
      <c r="G29">
        <f t="shared" si="3"/>
        <v>-8.6999999621184543E-4</v>
      </c>
      <c r="I29">
        <f t="shared" si="4"/>
        <v>-8.6999999621184543E-4</v>
      </c>
      <c r="O29">
        <f t="shared" ca="1" si="5"/>
        <v>0.11395539080198616</v>
      </c>
      <c r="Q29" s="1">
        <f t="shared" si="2"/>
        <v>17869.849000000002</v>
      </c>
    </row>
    <row r="30" spans="1:17" ht="12.75" customHeight="1">
      <c r="A30" s="49" t="s">
        <v>69</v>
      </c>
      <c r="B30" s="50" t="s">
        <v>48</v>
      </c>
      <c r="C30" s="49">
        <v>33159.542999999998</v>
      </c>
      <c r="D30" s="49" t="s">
        <v>62</v>
      </c>
      <c r="E30">
        <f t="shared" si="0"/>
        <v>1283.0240452491489</v>
      </c>
      <c r="F30">
        <f t="shared" si="1"/>
        <v>1283</v>
      </c>
      <c r="G30">
        <f t="shared" si="3"/>
        <v>5.4329999999026768E-2</v>
      </c>
      <c r="I30">
        <f t="shared" si="4"/>
        <v>5.4329999999026768E-2</v>
      </c>
      <c r="O30">
        <f t="shared" ca="1" si="5"/>
        <v>0.11096916195491208</v>
      </c>
      <c r="Q30" s="1">
        <f t="shared" si="2"/>
        <v>18141.042999999998</v>
      </c>
    </row>
    <row r="31" spans="1:17" ht="12.75" customHeight="1">
      <c r="A31" s="49" t="s">
        <v>69</v>
      </c>
      <c r="B31" s="50" t="s">
        <v>48</v>
      </c>
      <c r="C31" s="49">
        <v>33568.468999999997</v>
      </c>
      <c r="D31" s="49" t="s">
        <v>62</v>
      </c>
      <c r="E31">
        <f t="shared" si="0"/>
        <v>1464.0055941827577</v>
      </c>
      <c r="F31">
        <f t="shared" si="1"/>
        <v>1464</v>
      </c>
      <c r="G31">
        <f t="shared" si="3"/>
        <v>1.2640000000828877E-2</v>
      </c>
      <c r="I31">
        <f t="shared" si="4"/>
        <v>1.2640000000828877E-2</v>
      </c>
      <c r="O31">
        <f t="shared" ca="1" si="5"/>
        <v>0.10646493344390864</v>
      </c>
      <c r="Q31" s="1">
        <f t="shared" si="2"/>
        <v>18549.968999999997</v>
      </c>
    </row>
    <row r="32" spans="1:17" ht="12.75" customHeight="1">
      <c r="A32" s="49" t="s">
        <v>69</v>
      </c>
      <c r="B32" s="50" t="s">
        <v>48</v>
      </c>
      <c r="C32" s="49">
        <v>33925.489000000001</v>
      </c>
      <c r="D32" s="49" t="s">
        <v>62</v>
      </c>
      <c r="E32">
        <f t="shared" si="0"/>
        <v>1622.0147024328512</v>
      </c>
      <c r="F32">
        <f t="shared" si="1"/>
        <v>1622</v>
      </c>
      <c r="G32">
        <f t="shared" si="3"/>
        <v>3.3220000004803296E-2</v>
      </c>
      <c r="I32">
        <f t="shared" si="4"/>
        <v>3.3220000004803296E-2</v>
      </c>
      <c r="O32">
        <f t="shared" ca="1" si="5"/>
        <v>0.10253306546192775</v>
      </c>
      <c r="Q32" s="1">
        <f t="shared" si="2"/>
        <v>18906.989000000001</v>
      </c>
    </row>
    <row r="33" spans="1:30" ht="12.75" customHeight="1">
      <c r="A33" s="49" t="s">
        <v>69</v>
      </c>
      <c r="B33" s="50" t="s">
        <v>48</v>
      </c>
      <c r="C33" s="49">
        <v>33950.396999999997</v>
      </c>
      <c r="D33" s="49" t="s">
        <v>62</v>
      </c>
      <c r="E33">
        <f t="shared" si="0"/>
        <v>1633.0384290260188</v>
      </c>
      <c r="F33">
        <f t="shared" si="1"/>
        <v>1633</v>
      </c>
      <c r="G33">
        <f t="shared" si="3"/>
        <v>8.6830000000190921E-2</v>
      </c>
      <c r="I33">
        <f t="shared" si="4"/>
        <v>8.6830000000190921E-2</v>
      </c>
      <c r="O33">
        <f t="shared" ca="1" si="5"/>
        <v>0.10225932781761263</v>
      </c>
      <c r="Q33" s="1">
        <f t="shared" si="2"/>
        <v>18931.896999999997</v>
      </c>
    </row>
    <row r="34" spans="1:30" ht="12.75" customHeight="1">
      <c r="A34" s="49" t="s">
        <v>69</v>
      </c>
      <c r="B34" s="50" t="s">
        <v>48</v>
      </c>
      <c r="C34" s="49">
        <v>33977.396000000001</v>
      </c>
      <c r="D34" s="49" t="s">
        <v>62</v>
      </c>
      <c r="E34">
        <f t="shared" si="0"/>
        <v>1644.9875856941178</v>
      </c>
      <c r="F34">
        <f t="shared" si="1"/>
        <v>1645</v>
      </c>
      <c r="G34">
        <f t="shared" si="3"/>
        <v>-2.8050000000803266E-2</v>
      </c>
      <c r="I34">
        <f t="shared" si="4"/>
        <v>-2.8050000000803266E-2</v>
      </c>
      <c r="O34">
        <f t="shared" ca="1" si="5"/>
        <v>0.10196070493290522</v>
      </c>
      <c r="Q34" s="1">
        <f t="shared" si="2"/>
        <v>18958.896000000001</v>
      </c>
    </row>
    <row r="35" spans="1:30" ht="12.75" customHeight="1">
      <c r="A35" t="s">
        <v>30</v>
      </c>
      <c r="C35" s="10">
        <v>44956.283000000003</v>
      </c>
      <c r="D35" s="9"/>
      <c r="E35">
        <f t="shared" si="0"/>
        <v>6503.9986899698624</v>
      </c>
      <c r="F35">
        <f t="shared" si="1"/>
        <v>6504</v>
      </c>
      <c r="G35">
        <f t="shared" si="3"/>
        <v>-2.959999990707729E-3</v>
      </c>
      <c r="I35">
        <f t="shared" si="4"/>
        <v>-2.959999990707729E-3</v>
      </c>
      <c r="O35">
        <f t="shared" ca="1" si="5"/>
        <v>-1.8956678133203342E-2</v>
      </c>
      <c r="Q35" s="1">
        <f t="shared" si="2"/>
        <v>29937.783000000003</v>
      </c>
      <c r="AA35">
        <v>8</v>
      </c>
      <c r="AB35" t="s">
        <v>29</v>
      </c>
      <c r="AD35" t="s">
        <v>31</v>
      </c>
    </row>
    <row r="36" spans="1:30" ht="12.75" customHeight="1">
      <c r="A36" t="s">
        <v>32</v>
      </c>
      <c r="C36" s="10">
        <v>45211.593000000001</v>
      </c>
      <c r="D36" s="9"/>
      <c r="E36">
        <f t="shared" si="0"/>
        <v>6616.9932152830961</v>
      </c>
      <c r="F36">
        <f t="shared" si="1"/>
        <v>6617</v>
      </c>
      <c r="G36">
        <f t="shared" si="3"/>
        <v>-1.5330000001995359E-2</v>
      </c>
      <c r="I36">
        <f t="shared" si="4"/>
        <v>-1.5330000001995359E-2</v>
      </c>
      <c r="O36">
        <f t="shared" ca="1" si="5"/>
        <v>-2.1768710297531441E-2</v>
      </c>
      <c r="Q36" s="1">
        <f t="shared" si="2"/>
        <v>30193.093000000001</v>
      </c>
      <c r="AA36">
        <v>6</v>
      </c>
      <c r="AB36" t="s">
        <v>29</v>
      </c>
      <c r="AD36" t="s">
        <v>31</v>
      </c>
    </row>
    <row r="37" spans="1:30" ht="12.75" customHeight="1">
      <c r="A37" t="s">
        <v>33</v>
      </c>
      <c r="C37" s="10">
        <v>45559.567999999999</v>
      </c>
      <c r="D37" s="9"/>
      <c r="E37">
        <f t="shared" si="0"/>
        <v>6770.9992077858278</v>
      </c>
      <c r="F37">
        <f t="shared" si="1"/>
        <v>6771</v>
      </c>
      <c r="G37">
        <f t="shared" si="3"/>
        <v>-1.7899999947985634E-3</v>
      </c>
      <c r="I37">
        <f t="shared" si="4"/>
        <v>-1.7899999947985634E-3</v>
      </c>
      <c r="O37">
        <f t="shared" ca="1" si="5"/>
        <v>-2.5601037317943193E-2</v>
      </c>
      <c r="Q37" s="1">
        <f t="shared" si="2"/>
        <v>30541.067999999999</v>
      </c>
      <c r="AA37">
        <v>5</v>
      </c>
      <c r="AB37" t="s">
        <v>29</v>
      </c>
      <c r="AD37" t="s">
        <v>31</v>
      </c>
    </row>
    <row r="38" spans="1:30" ht="12.75" customHeight="1">
      <c r="A38" t="s">
        <v>35</v>
      </c>
      <c r="C38" s="10">
        <v>45898.455000000002</v>
      </c>
      <c r="D38" s="9"/>
      <c r="E38">
        <f t="shared" si="0"/>
        <v>6920.9830536979598</v>
      </c>
      <c r="F38">
        <f t="shared" si="1"/>
        <v>6921</v>
      </c>
      <c r="G38">
        <f t="shared" si="3"/>
        <v>-3.8289999996777624E-2</v>
      </c>
      <c r="I38">
        <f t="shared" si="4"/>
        <v>-3.8289999996777624E-2</v>
      </c>
      <c r="O38">
        <f t="shared" ca="1" si="5"/>
        <v>-2.9333823376785834E-2</v>
      </c>
      <c r="Q38" s="1">
        <f t="shared" si="2"/>
        <v>30879.955000000002</v>
      </c>
      <c r="AA38">
        <v>6</v>
      </c>
      <c r="AB38" t="s">
        <v>34</v>
      </c>
      <c r="AD38" t="s">
        <v>31</v>
      </c>
    </row>
    <row r="39" spans="1:30" ht="12.75" customHeight="1">
      <c r="A39" t="s">
        <v>35</v>
      </c>
      <c r="C39" s="10">
        <v>45898.457999999999</v>
      </c>
      <c r="D39" s="9"/>
      <c r="E39">
        <f t="shared" si="0"/>
        <v>6920.984381431208</v>
      </c>
      <c r="F39">
        <f t="shared" si="1"/>
        <v>6921</v>
      </c>
      <c r="G39">
        <f t="shared" si="3"/>
        <v>-3.5289999999804422E-2</v>
      </c>
      <c r="I39">
        <f t="shared" si="4"/>
        <v>-3.5289999999804422E-2</v>
      </c>
      <c r="O39">
        <f t="shared" ca="1" si="5"/>
        <v>-2.9333823376785834E-2</v>
      </c>
      <c r="Q39" s="1">
        <f t="shared" si="2"/>
        <v>30879.957999999999</v>
      </c>
      <c r="AA39">
        <v>7</v>
      </c>
      <c r="AB39" t="s">
        <v>29</v>
      </c>
      <c r="AD39" t="s">
        <v>31</v>
      </c>
    </row>
    <row r="40" spans="1:30" ht="12.75" customHeight="1">
      <c r="A40" t="s">
        <v>36</v>
      </c>
      <c r="C40" s="10">
        <v>46255.468000000001</v>
      </c>
      <c r="D40" s="9"/>
      <c r="E40">
        <f t="shared" si="0"/>
        <v>7078.9890639038022</v>
      </c>
      <c r="F40">
        <f t="shared" si="1"/>
        <v>7079</v>
      </c>
      <c r="G40">
        <f t="shared" si="3"/>
        <v>-2.4709999997867271E-2</v>
      </c>
      <c r="I40">
        <f t="shared" si="4"/>
        <v>-2.4709999997867271E-2</v>
      </c>
      <c r="O40">
        <f t="shared" ca="1" si="5"/>
        <v>-3.3265691358766725E-2</v>
      </c>
      <c r="Q40" s="1">
        <f t="shared" si="2"/>
        <v>31236.968000000001</v>
      </c>
      <c r="AA40">
        <v>6</v>
      </c>
      <c r="AB40" t="s">
        <v>29</v>
      </c>
      <c r="AD40" t="s">
        <v>31</v>
      </c>
    </row>
    <row r="41" spans="1:30" ht="12.75" customHeight="1">
      <c r="A41" t="s">
        <v>37</v>
      </c>
      <c r="C41" s="10">
        <v>46987.525000000001</v>
      </c>
      <c r="D41" s="9"/>
      <c r="E41">
        <f t="shared" si="0"/>
        <v>7402.9812037229658</v>
      </c>
      <c r="F41">
        <f t="shared" si="1"/>
        <v>7403</v>
      </c>
      <c r="G41">
        <f t="shared" si="3"/>
        <v>-4.2469999993045349E-2</v>
      </c>
      <c r="I41">
        <f t="shared" si="4"/>
        <v>-4.2469999993045349E-2</v>
      </c>
      <c r="O41">
        <f t="shared" ca="1" si="5"/>
        <v>-4.1328509245866785E-2</v>
      </c>
      <c r="Q41" s="1">
        <f t="shared" si="2"/>
        <v>31969.025000000001</v>
      </c>
      <c r="AA41">
        <v>6</v>
      </c>
      <c r="AB41" t="s">
        <v>29</v>
      </c>
      <c r="AD41" t="s">
        <v>31</v>
      </c>
    </row>
    <row r="42" spans="1:30" ht="12.75" customHeight="1">
      <c r="A42" s="49" t="s">
        <v>139</v>
      </c>
      <c r="B42" s="50" t="s">
        <v>48</v>
      </c>
      <c r="C42" s="49">
        <v>47039.482000000004</v>
      </c>
      <c r="D42" s="49" t="s">
        <v>62</v>
      </c>
      <c r="E42">
        <f t="shared" si="0"/>
        <v>7425.9762158717258</v>
      </c>
      <c r="F42">
        <f t="shared" si="1"/>
        <v>7426</v>
      </c>
      <c r="G42">
        <f t="shared" si="3"/>
        <v>-5.3739999995741528E-2</v>
      </c>
      <c r="I42">
        <f t="shared" si="4"/>
        <v>-5.3739999995741528E-2</v>
      </c>
      <c r="O42">
        <f t="shared" ca="1" si="5"/>
        <v>-4.1900869774889299E-2</v>
      </c>
      <c r="Q42" s="1">
        <f t="shared" si="2"/>
        <v>32020.982000000004</v>
      </c>
    </row>
    <row r="43" spans="1:30" ht="12.75" customHeight="1">
      <c r="A43" s="49" t="s">
        <v>139</v>
      </c>
      <c r="B43" s="50" t="s">
        <v>48</v>
      </c>
      <c r="C43" s="49">
        <v>47039.482000000004</v>
      </c>
      <c r="D43" s="49" t="s">
        <v>62</v>
      </c>
      <c r="E43">
        <f t="shared" si="0"/>
        <v>7425.9762158717258</v>
      </c>
      <c r="F43">
        <f t="shared" si="1"/>
        <v>7426</v>
      </c>
      <c r="G43">
        <f t="shared" si="3"/>
        <v>-5.3739999995741528E-2</v>
      </c>
      <c r="I43">
        <f t="shared" si="4"/>
        <v>-5.3739999995741528E-2</v>
      </c>
      <c r="O43">
        <f t="shared" ca="1" si="5"/>
        <v>-4.1900869774889299E-2</v>
      </c>
      <c r="Q43" s="1">
        <f t="shared" si="2"/>
        <v>32020.982000000004</v>
      </c>
    </row>
    <row r="44" spans="1:30" ht="12.75" customHeight="1">
      <c r="A44" s="49" t="s">
        <v>139</v>
      </c>
      <c r="B44" s="50" t="s">
        <v>48</v>
      </c>
      <c r="C44" s="49">
        <v>47039.483</v>
      </c>
      <c r="D44" s="49" t="s">
        <v>62</v>
      </c>
      <c r="E44">
        <f t="shared" si="0"/>
        <v>7425.9766584494737</v>
      </c>
      <c r="F44">
        <f t="shared" si="1"/>
        <v>7426</v>
      </c>
      <c r="G44">
        <f t="shared" si="3"/>
        <v>-5.273999999917578E-2</v>
      </c>
      <c r="I44">
        <f t="shared" si="4"/>
        <v>-5.273999999917578E-2</v>
      </c>
      <c r="O44">
        <f t="shared" ca="1" si="5"/>
        <v>-4.1900869774889299E-2</v>
      </c>
      <c r="Q44" s="1">
        <f t="shared" si="2"/>
        <v>32020.983</v>
      </c>
    </row>
    <row r="45" spans="1:30" ht="12.75" customHeight="1">
      <c r="A45" t="s">
        <v>38</v>
      </c>
      <c r="C45" s="10">
        <v>47107.262000000002</v>
      </c>
      <c r="D45" s="9"/>
      <c r="E45">
        <f t="shared" si="0"/>
        <v>7455.9741357563007</v>
      </c>
      <c r="F45">
        <f t="shared" si="1"/>
        <v>7456</v>
      </c>
      <c r="G45">
        <f t="shared" si="3"/>
        <v>-5.8439999993424863E-2</v>
      </c>
      <c r="I45">
        <f t="shared" si="4"/>
        <v>-5.8439999993424863E-2</v>
      </c>
      <c r="O45">
        <f t="shared" ca="1" si="5"/>
        <v>-4.2647426986657827E-2</v>
      </c>
      <c r="Q45" s="1">
        <f t="shared" si="2"/>
        <v>32088.762000000002</v>
      </c>
      <c r="AA45">
        <v>6</v>
      </c>
      <c r="AB45" t="s">
        <v>29</v>
      </c>
      <c r="AD45" t="s">
        <v>31</v>
      </c>
    </row>
    <row r="46" spans="1:30" ht="12.75" customHeight="1">
      <c r="A46" s="49" t="s">
        <v>152</v>
      </c>
      <c r="B46" s="50" t="s">
        <v>48</v>
      </c>
      <c r="C46" s="49">
        <v>52150.415999999997</v>
      </c>
      <c r="D46" s="49" t="s">
        <v>62</v>
      </c>
      <c r="E46">
        <f t="shared" si="0"/>
        <v>9687.9618852041822</v>
      </c>
      <c r="F46">
        <f t="shared" si="1"/>
        <v>9688</v>
      </c>
      <c r="G46">
        <f t="shared" si="3"/>
        <v>-8.6119999999937136E-2</v>
      </c>
      <c r="I46">
        <f t="shared" si="4"/>
        <v>-8.6119999999937136E-2</v>
      </c>
      <c r="O46">
        <f t="shared" ca="1" si="5"/>
        <v>-9.8191283542235996E-2</v>
      </c>
      <c r="Q46" s="1">
        <f t="shared" si="2"/>
        <v>37131.915999999997</v>
      </c>
    </row>
    <row r="47" spans="1:30" ht="12.75" customHeight="1">
      <c r="A47" s="29" t="s">
        <v>47</v>
      </c>
      <c r="B47" s="30" t="s">
        <v>48</v>
      </c>
      <c r="C47" s="29">
        <v>54389.532800000001</v>
      </c>
      <c r="D47" s="29">
        <v>2.9999999999999997E-4</v>
      </c>
      <c r="E47">
        <f t="shared" si="0"/>
        <v>10678.945160191017</v>
      </c>
      <c r="F47">
        <f t="shared" si="1"/>
        <v>10679</v>
      </c>
      <c r="G47">
        <f t="shared" si="3"/>
        <v>-0.12390999999479391</v>
      </c>
      <c r="J47">
        <f>+G47</f>
        <v>-0.12390999999479391</v>
      </c>
      <c r="O47">
        <f t="shared" ca="1" si="5"/>
        <v>-0.12285255677098958</v>
      </c>
      <c r="Q47" s="1">
        <f t="shared" si="2"/>
        <v>39371.032800000001</v>
      </c>
    </row>
    <row r="48" spans="1:30" ht="12.75" customHeight="1">
      <c r="A48" s="31" t="s">
        <v>184</v>
      </c>
      <c r="B48" s="32" t="s">
        <v>48</v>
      </c>
      <c r="C48" s="33">
        <v>54432.464999999997</v>
      </c>
      <c r="D48" s="33">
        <v>0.01</v>
      </c>
      <c r="E48">
        <f t="shared" si="0"/>
        <v>10697.945996662964</v>
      </c>
      <c r="F48">
        <f t="shared" si="1"/>
        <v>10698</v>
      </c>
      <c r="G48">
        <f t="shared" si="3"/>
        <v>-0.12202000000252156</v>
      </c>
      <c r="I48">
        <f>+G48</f>
        <v>-0.12202000000252156</v>
      </c>
      <c r="O48">
        <f t="shared" ca="1" si="5"/>
        <v>-0.12332537633844295</v>
      </c>
      <c r="Q48" s="1">
        <f t="shared" si="2"/>
        <v>39413.964999999997</v>
      </c>
    </row>
    <row r="49" spans="1:17" ht="12.75" customHeight="1">
      <c r="A49" s="49" t="s">
        <v>170</v>
      </c>
      <c r="B49" s="50" t="s">
        <v>48</v>
      </c>
      <c r="C49" s="49">
        <v>55067.373299999999</v>
      </c>
      <c r="D49" s="49" t="s">
        <v>62</v>
      </c>
      <c r="E49">
        <f t="shared" si="0"/>
        <v>10978.942283435643</v>
      </c>
      <c r="F49">
        <f t="shared" si="1"/>
        <v>10979</v>
      </c>
      <c r="G49">
        <f t="shared" si="3"/>
        <v>-0.13040999999793712</v>
      </c>
      <c r="J49">
        <f>+G49</f>
        <v>-0.13040999999793712</v>
      </c>
      <c r="O49">
        <f t="shared" ca="1" si="5"/>
        <v>-0.13031812888867481</v>
      </c>
      <c r="Q49" s="1">
        <f t="shared" si="2"/>
        <v>40048.873299999999</v>
      </c>
    </row>
    <row r="50" spans="1:17" ht="12.75" customHeight="1">
      <c r="A50" s="49" t="s">
        <v>170</v>
      </c>
      <c r="B50" s="50" t="s">
        <v>48</v>
      </c>
      <c r="C50" s="49">
        <v>55076.4035</v>
      </c>
      <c r="D50" s="49" t="s">
        <v>62</v>
      </c>
      <c r="E50">
        <f t="shared" si="0"/>
        <v>10982.938849032305</v>
      </c>
      <c r="F50">
        <f t="shared" si="1"/>
        <v>10983</v>
      </c>
      <c r="G50">
        <f t="shared" si="3"/>
        <v>-0.13816999999835389</v>
      </c>
      <c r="J50">
        <f>+G50</f>
        <v>-0.13816999999835389</v>
      </c>
      <c r="O50">
        <f t="shared" ca="1" si="5"/>
        <v>-0.13041766985024392</v>
      </c>
      <c r="Q50" s="1">
        <f t="shared" si="2"/>
        <v>40057.9035</v>
      </c>
    </row>
    <row r="51" spans="1:17" ht="12.75" customHeight="1">
      <c r="A51" s="49" t="s">
        <v>170</v>
      </c>
      <c r="B51" s="50" t="s">
        <v>48</v>
      </c>
      <c r="C51" s="49">
        <v>55155.492200000001</v>
      </c>
      <c r="D51" s="49" t="s">
        <v>62</v>
      </c>
      <c r="E51">
        <f t="shared" si="0"/>
        <v>11017.941747916566</v>
      </c>
      <c r="F51">
        <f t="shared" si="1"/>
        <v>11018</v>
      </c>
      <c r="G51">
        <f t="shared" si="3"/>
        <v>-0.1316199999928358</v>
      </c>
      <c r="J51">
        <f>+G51</f>
        <v>-0.1316199999928358</v>
      </c>
      <c r="O51">
        <f t="shared" ca="1" si="5"/>
        <v>-0.1312886532639739</v>
      </c>
      <c r="Q51" s="1">
        <f t="shared" si="2"/>
        <v>40136.992200000001</v>
      </c>
    </row>
    <row r="52" spans="1:17" ht="12.75" customHeight="1">
      <c r="A52" s="34" t="s">
        <v>51</v>
      </c>
      <c r="B52" s="34"/>
      <c r="C52" s="35">
        <v>55460.5219</v>
      </c>
      <c r="D52" s="35">
        <v>2.0999999999999999E-3</v>
      </c>
      <c r="E52">
        <f t="shared" si="0"/>
        <v>11152.941106178829</v>
      </c>
      <c r="F52">
        <f t="shared" si="1"/>
        <v>11153</v>
      </c>
      <c r="G52">
        <f t="shared" si="3"/>
        <v>-0.13307000000349944</v>
      </c>
      <c r="J52">
        <f>+G52</f>
        <v>-0.13307000000349944</v>
      </c>
      <c r="O52">
        <f t="shared" ca="1" si="5"/>
        <v>-0.13464816071693222</v>
      </c>
      <c r="Q52" s="1">
        <f t="shared" si="2"/>
        <v>40442.0219</v>
      </c>
    </row>
    <row r="53" spans="1:17" ht="12.75" customHeight="1">
      <c r="A53" s="51" t="s">
        <v>0</v>
      </c>
      <c r="B53" s="52" t="s">
        <v>48</v>
      </c>
      <c r="C53" s="53">
        <v>57297.471299999997</v>
      </c>
      <c r="D53" s="53">
        <v>6.9999999999999999E-4</v>
      </c>
      <c r="E53">
        <f>+(C53-C$7)/C$8</f>
        <v>11965.934038212163</v>
      </c>
      <c r="F53">
        <f t="shared" si="1"/>
        <v>11966</v>
      </c>
      <c r="G53">
        <f>+C53-(C$7+F53*C$8)</f>
        <v>-0.149039999996603</v>
      </c>
      <c r="K53">
        <f>+G53</f>
        <v>-0.149039999996603</v>
      </c>
      <c r="O53">
        <f ca="1">+C$11+C$12*F53</f>
        <v>-0.15487986115585925</v>
      </c>
      <c r="Q53" s="1">
        <f>+C53-15018.5</f>
        <v>42278.971299999997</v>
      </c>
    </row>
    <row r="54" spans="1:17" ht="12.75" customHeight="1">
      <c r="B54" s="16"/>
      <c r="C54" s="9"/>
      <c r="D54" s="9"/>
    </row>
    <row r="55" spans="1:17" ht="12.75" customHeight="1">
      <c r="B55" s="16"/>
      <c r="C55" s="9"/>
      <c r="D55" s="9"/>
    </row>
    <row r="56" spans="1:17" ht="12.75" customHeight="1">
      <c r="B56" s="16"/>
      <c r="C56" s="9"/>
      <c r="D56" s="9"/>
    </row>
    <row r="57" spans="1:17" ht="12.75" customHeight="1">
      <c r="B57" s="16"/>
      <c r="C57" s="9"/>
      <c r="D57" s="9"/>
    </row>
    <row r="58" spans="1:17" ht="12.75" customHeight="1">
      <c r="B58" s="16"/>
      <c r="C58" s="9"/>
      <c r="D58" s="9"/>
    </row>
    <row r="59" spans="1:17" ht="12.75" customHeight="1">
      <c r="B59" s="16"/>
      <c r="C59" s="9"/>
      <c r="D59" s="9"/>
    </row>
    <row r="60" spans="1:17" ht="12.75" customHeight="1">
      <c r="B60" s="16"/>
      <c r="C60" s="9"/>
      <c r="D60" s="9"/>
    </row>
    <row r="61" spans="1:17" ht="12.75" customHeight="1">
      <c r="B61" s="16"/>
      <c r="C61" s="9"/>
      <c r="D61" s="9"/>
    </row>
    <row r="62" spans="1:17" ht="12.75" customHeight="1">
      <c r="B62" s="16"/>
      <c r="C62" s="9"/>
      <c r="D62" s="9"/>
    </row>
    <row r="63" spans="1:17" ht="12.75" customHeight="1">
      <c r="B63" s="16"/>
      <c r="C63" s="9"/>
      <c r="D63" s="9"/>
    </row>
    <row r="64" spans="1:17" ht="12.75" customHeight="1">
      <c r="B64" s="16"/>
      <c r="C64" s="9"/>
      <c r="D64" s="9"/>
    </row>
    <row r="65" spans="3:4" ht="12.75" customHeight="1">
      <c r="C65" s="9"/>
      <c r="D65" s="9"/>
    </row>
    <row r="66" spans="3:4" ht="12.75" customHeight="1">
      <c r="C66" s="9"/>
      <c r="D66" s="9"/>
    </row>
    <row r="67" spans="3:4" ht="12.75" customHeight="1">
      <c r="C67" s="9"/>
      <c r="D67" s="9"/>
    </row>
    <row r="68" spans="3:4" ht="12.75" customHeight="1">
      <c r="C68" s="9"/>
      <c r="D68" s="9"/>
    </row>
    <row r="69" spans="3:4" ht="12.75" customHeight="1">
      <c r="C69" s="9"/>
      <c r="D69" s="9"/>
    </row>
    <row r="70" spans="3:4" ht="12.75" customHeight="1">
      <c r="C70" s="9"/>
      <c r="D70" s="9"/>
    </row>
    <row r="71" spans="3:4" ht="12.75" customHeight="1">
      <c r="C71" s="9"/>
      <c r="D71" s="9"/>
    </row>
    <row r="72" spans="3:4" ht="12.75" customHeight="1">
      <c r="C72" s="9"/>
      <c r="D72" s="9"/>
    </row>
    <row r="73" spans="3:4" ht="12.75" customHeight="1">
      <c r="C73" s="9"/>
      <c r="D73" s="9"/>
    </row>
    <row r="74" spans="3:4" ht="12.75" customHeight="1">
      <c r="C74" s="9"/>
      <c r="D74" s="9"/>
    </row>
    <row r="75" spans="3:4" ht="12.75" customHeight="1">
      <c r="C75" s="9"/>
      <c r="D75" s="9"/>
    </row>
    <row r="76" spans="3:4" ht="12.75" customHeight="1">
      <c r="C76" s="9"/>
      <c r="D76" s="9"/>
    </row>
    <row r="77" spans="3:4" ht="12.75" customHeight="1">
      <c r="C77" s="9"/>
      <c r="D77" s="9"/>
    </row>
    <row r="78" spans="3:4" ht="12.75" customHeight="1">
      <c r="C78" s="9"/>
      <c r="D78" s="9"/>
    </row>
    <row r="79" spans="3:4" ht="12.75" customHeight="1">
      <c r="C79" s="9"/>
      <c r="D79" s="9"/>
    </row>
    <row r="80" spans="3:4" ht="12.75" customHeight="1">
      <c r="C80" s="9"/>
      <c r="D80" s="9"/>
    </row>
    <row r="81" spans="3:4" ht="12.75" customHeight="1">
      <c r="C81" s="9"/>
      <c r="D81" s="9"/>
    </row>
    <row r="82" spans="3:4" ht="12.75" customHeight="1">
      <c r="C82" s="9"/>
      <c r="D82" s="9"/>
    </row>
    <row r="83" spans="3:4" ht="12.75" customHeight="1">
      <c r="C83" s="9"/>
      <c r="D83" s="9"/>
    </row>
    <row r="84" spans="3:4" ht="12.75" customHeight="1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</sheetData>
  <phoneticPr fontId="7" type="noConversion"/>
  <hyperlinks>
    <hyperlink ref="H229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workbookViewId="0">
      <selection activeCell="A22" sqref="A22:D41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6" t="s">
        <v>52</v>
      </c>
      <c r="I1" s="37" t="s">
        <v>53</v>
      </c>
      <c r="J1" s="38" t="s">
        <v>54</v>
      </c>
    </row>
    <row r="2" spans="1:16">
      <c r="I2" s="39" t="s">
        <v>55</v>
      </c>
      <c r="J2" s="40" t="s">
        <v>56</v>
      </c>
    </row>
    <row r="3" spans="1:16">
      <c r="A3" s="41" t="s">
        <v>57</v>
      </c>
      <c r="I3" s="39" t="s">
        <v>58</v>
      </c>
      <c r="J3" s="40" t="s">
        <v>59</v>
      </c>
    </row>
    <row r="4" spans="1:16">
      <c r="I4" s="39" t="s">
        <v>60</v>
      </c>
      <c r="J4" s="40" t="s">
        <v>59</v>
      </c>
    </row>
    <row r="5" spans="1:16" ht="13.5" thickBot="1">
      <c r="I5" s="42" t="s">
        <v>61</v>
      </c>
      <c r="J5" s="43" t="s">
        <v>62</v>
      </c>
    </row>
    <row r="10" spans="1:16" ht="13.5" thickBot="1"/>
    <row r="11" spans="1:16" ht="12.75" customHeight="1" thickBot="1">
      <c r="A11" s="9" t="str">
        <f t="shared" ref="A11:A41" si="0">P11</f>
        <v> BBS 58 </v>
      </c>
      <c r="B11" s="16" t="str">
        <f t="shared" ref="B11:B41" si="1">IF(H11=INT(H11),"I","II")</f>
        <v>I</v>
      </c>
      <c r="C11" s="9">
        <f t="shared" ref="C11:C41" si="2">1*G11</f>
        <v>44956.283000000003</v>
      </c>
      <c r="D11" s="13" t="str">
        <f t="shared" ref="D11:D41" si="3">VLOOKUP(F11,I$1:J$5,2,FALSE)</f>
        <v>vis</v>
      </c>
      <c r="E11" s="44">
        <f>VLOOKUP(C11,Active!C$21:E$973,3,FALSE)</f>
        <v>6503.9986899698624</v>
      </c>
      <c r="F11" s="16" t="s">
        <v>61</v>
      </c>
      <c r="G11" s="13" t="str">
        <f t="shared" ref="G11:G41" si="4">MID(I11,3,LEN(I11)-3)</f>
        <v>44956.283</v>
      </c>
      <c r="H11" s="9">
        <f t="shared" ref="H11:H41" si="5">1*K11</f>
        <v>6504</v>
      </c>
      <c r="I11" s="45" t="s">
        <v>106</v>
      </c>
      <c r="J11" s="46" t="s">
        <v>107</v>
      </c>
      <c r="K11" s="45">
        <v>6504</v>
      </c>
      <c r="L11" s="45" t="s">
        <v>63</v>
      </c>
      <c r="M11" s="46" t="s">
        <v>108</v>
      </c>
      <c r="N11" s="46"/>
      <c r="O11" s="47" t="s">
        <v>109</v>
      </c>
      <c r="P11" s="47" t="s">
        <v>110</v>
      </c>
    </row>
    <row r="12" spans="1:16" ht="12.75" customHeight="1" thickBot="1">
      <c r="A12" s="9" t="str">
        <f t="shared" si="0"/>
        <v> BBS 62 </v>
      </c>
      <c r="B12" s="16" t="str">
        <f t="shared" si="1"/>
        <v>I</v>
      </c>
      <c r="C12" s="9">
        <f t="shared" si="2"/>
        <v>45211.593000000001</v>
      </c>
      <c r="D12" s="13" t="str">
        <f t="shared" si="3"/>
        <v>vis</v>
      </c>
      <c r="E12" s="44">
        <f>VLOOKUP(C12,Active!C$21:E$973,3,FALSE)</f>
        <v>6616.9932152830961</v>
      </c>
      <c r="F12" s="16" t="s">
        <v>61</v>
      </c>
      <c r="G12" s="13" t="str">
        <f t="shared" si="4"/>
        <v>45211.593</v>
      </c>
      <c r="H12" s="9">
        <f t="shared" si="5"/>
        <v>6617</v>
      </c>
      <c r="I12" s="45" t="s">
        <v>111</v>
      </c>
      <c r="J12" s="46" t="s">
        <v>112</v>
      </c>
      <c r="K12" s="45">
        <v>6617</v>
      </c>
      <c r="L12" s="45" t="s">
        <v>113</v>
      </c>
      <c r="M12" s="46" t="s">
        <v>108</v>
      </c>
      <c r="N12" s="46"/>
      <c r="O12" s="47" t="s">
        <v>109</v>
      </c>
      <c r="P12" s="47" t="s">
        <v>114</v>
      </c>
    </row>
    <row r="13" spans="1:16" ht="12.75" customHeight="1" thickBot="1">
      <c r="A13" s="9" t="str">
        <f t="shared" si="0"/>
        <v> BBS 68 </v>
      </c>
      <c r="B13" s="16" t="str">
        <f t="shared" si="1"/>
        <v>I</v>
      </c>
      <c r="C13" s="9">
        <f t="shared" si="2"/>
        <v>45559.567999999999</v>
      </c>
      <c r="D13" s="13" t="str">
        <f t="shared" si="3"/>
        <v>vis</v>
      </c>
      <c r="E13" s="44">
        <f>VLOOKUP(C13,Active!C$21:E$973,3,FALSE)</f>
        <v>6770.9992077858278</v>
      </c>
      <c r="F13" s="16" t="s">
        <v>61</v>
      </c>
      <c r="G13" s="13" t="str">
        <f t="shared" si="4"/>
        <v>45559.568</v>
      </c>
      <c r="H13" s="9">
        <f t="shared" si="5"/>
        <v>6771</v>
      </c>
      <c r="I13" s="45" t="s">
        <v>115</v>
      </c>
      <c r="J13" s="46" t="s">
        <v>116</v>
      </c>
      <c r="K13" s="45">
        <v>6771</v>
      </c>
      <c r="L13" s="45" t="s">
        <v>117</v>
      </c>
      <c r="M13" s="46" t="s">
        <v>108</v>
      </c>
      <c r="N13" s="46"/>
      <c r="O13" s="47" t="s">
        <v>109</v>
      </c>
      <c r="P13" s="47" t="s">
        <v>118</v>
      </c>
    </row>
    <row r="14" spans="1:16" ht="12.75" customHeight="1" thickBot="1">
      <c r="A14" s="9" t="str">
        <f t="shared" si="0"/>
        <v> BBS 73 </v>
      </c>
      <c r="B14" s="16" t="str">
        <f t="shared" si="1"/>
        <v>I</v>
      </c>
      <c r="C14" s="9">
        <f t="shared" si="2"/>
        <v>45898.455000000002</v>
      </c>
      <c r="D14" s="13" t="str">
        <f t="shared" si="3"/>
        <v>vis</v>
      </c>
      <c r="E14" s="44">
        <f>VLOOKUP(C14,Active!C$21:E$973,3,FALSE)</f>
        <v>6920.9830536979598</v>
      </c>
      <c r="F14" s="16" t="s">
        <v>61</v>
      </c>
      <c r="G14" s="13" t="str">
        <f t="shared" si="4"/>
        <v>45898.455</v>
      </c>
      <c r="H14" s="9">
        <f t="shared" si="5"/>
        <v>6921</v>
      </c>
      <c r="I14" s="45" t="s">
        <v>119</v>
      </c>
      <c r="J14" s="46" t="s">
        <v>120</v>
      </c>
      <c r="K14" s="45">
        <v>6921</v>
      </c>
      <c r="L14" s="45" t="s">
        <v>121</v>
      </c>
      <c r="M14" s="46" t="s">
        <v>108</v>
      </c>
      <c r="N14" s="46"/>
      <c r="O14" s="47" t="s">
        <v>122</v>
      </c>
      <c r="P14" s="47" t="s">
        <v>123</v>
      </c>
    </row>
    <row r="15" spans="1:16" ht="12.75" customHeight="1" thickBot="1">
      <c r="A15" s="9" t="str">
        <f t="shared" si="0"/>
        <v> BBS 73 </v>
      </c>
      <c r="B15" s="16" t="str">
        <f t="shared" si="1"/>
        <v>I</v>
      </c>
      <c r="C15" s="9">
        <f t="shared" si="2"/>
        <v>45898.457999999999</v>
      </c>
      <c r="D15" s="13" t="str">
        <f t="shared" si="3"/>
        <v>vis</v>
      </c>
      <c r="E15" s="44">
        <f>VLOOKUP(C15,Active!C$21:E$973,3,FALSE)</f>
        <v>6920.984381431208</v>
      </c>
      <c r="F15" s="16" t="s">
        <v>61</v>
      </c>
      <c r="G15" s="13" t="str">
        <f t="shared" si="4"/>
        <v>45898.458</v>
      </c>
      <c r="H15" s="9">
        <f t="shared" si="5"/>
        <v>6921</v>
      </c>
      <c r="I15" s="45" t="s">
        <v>124</v>
      </c>
      <c r="J15" s="46" t="s">
        <v>125</v>
      </c>
      <c r="K15" s="45">
        <v>6921</v>
      </c>
      <c r="L15" s="45" t="s">
        <v>126</v>
      </c>
      <c r="M15" s="46" t="s">
        <v>108</v>
      </c>
      <c r="N15" s="46"/>
      <c r="O15" s="47" t="s">
        <v>109</v>
      </c>
      <c r="P15" s="47" t="s">
        <v>123</v>
      </c>
    </row>
    <row r="16" spans="1:16" ht="12.75" customHeight="1" thickBot="1">
      <c r="A16" s="9" t="str">
        <f t="shared" si="0"/>
        <v> BBS 77 </v>
      </c>
      <c r="B16" s="16" t="str">
        <f t="shared" si="1"/>
        <v>I</v>
      </c>
      <c r="C16" s="9">
        <f t="shared" si="2"/>
        <v>46255.468000000001</v>
      </c>
      <c r="D16" s="13" t="str">
        <f t="shared" si="3"/>
        <v>vis</v>
      </c>
      <c r="E16" s="44">
        <f>VLOOKUP(C16,Active!C$21:E$973,3,FALSE)</f>
        <v>7078.9890639038022</v>
      </c>
      <c r="F16" s="16" t="s">
        <v>61</v>
      </c>
      <c r="G16" s="13" t="str">
        <f t="shared" si="4"/>
        <v>46255.468</v>
      </c>
      <c r="H16" s="9">
        <f t="shared" si="5"/>
        <v>7079</v>
      </c>
      <c r="I16" s="45" t="s">
        <v>127</v>
      </c>
      <c r="J16" s="46" t="s">
        <v>128</v>
      </c>
      <c r="K16" s="45">
        <v>7079</v>
      </c>
      <c r="L16" s="45" t="s">
        <v>129</v>
      </c>
      <c r="M16" s="46" t="s">
        <v>108</v>
      </c>
      <c r="N16" s="46"/>
      <c r="O16" s="47" t="s">
        <v>109</v>
      </c>
      <c r="P16" s="47" t="s">
        <v>130</v>
      </c>
    </row>
    <row r="17" spans="1:16" ht="12.75" customHeight="1" thickBot="1">
      <c r="A17" s="9" t="str">
        <f t="shared" si="0"/>
        <v> BBS 84 </v>
      </c>
      <c r="B17" s="16" t="str">
        <f t="shared" si="1"/>
        <v>I</v>
      </c>
      <c r="C17" s="9">
        <f t="shared" si="2"/>
        <v>46987.525000000001</v>
      </c>
      <c r="D17" s="13" t="str">
        <f t="shared" si="3"/>
        <v>vis</v>
      </c>
      <c r="E17" s="44">
        <f>VLOOKUP(C17,Active!C$21:E$973,3,FALSE)</f>
        <v>7402.9812037229658</v>
      </c>
      <c r="F17" s="16" t="s">
        <v>61</v>
      </c>
      <c r="G17" s="13" t="str">
        <f t="shared" si="4"/>
        <v>46987.525</v>
      </c>
      <c r="H17" s="9">
        <f t="shared" si="5"/>
        <v>7403</v>
      </c>
      <c r="I17" s="45" t="s">
        <v>131</v>
      </c>
      <c r="J17" s="46" t="s">
        <v>132</v>
      </c>
      <c r="K17" s="45">
        <v>7403</v>
      </c>
      <c r="L17" s="45" t="s">
        <v>133</v>
      </c>
      <c r="M17" s="46" t="s">
        <v>108</v>
      </c>
      <c r="N17" s="46"/>
      <c r="O17" s="47" t="s">
        <v>109</v>
      </c>
      <c r="P17" s="47" t="s">
        <v>134</v>
      </c>
    </row>
    <row r="18" spans="1:16" ht="12.75" customHeight="1" thickBot="1">
      <c r="A18" s="9" t="str">
        <f t="shared" si="0"/>
        <v> BBS 86 </v>
      </c>
      <c r="B18" s="16" t="str">
        <f t="shared" si="1"/>
        <v>I</v>
      </c>
      <c r="C18" s="9">
        <f t="shared" si="2"/>
        <v>47107.262000000002</v>
      </c>
      <c r="D18" s="13" t="str">
        <f t="shared" si="3"/>
        <v>vis</v>
      </c>
      <c r="E18" s="44">
        <f>VLOOKUP(C18,Active!C$21:E$973,3,FALSE)</f>
        <v>7455.9741357563007</v>
      </c>
      <c r="F18" s="16" t="s">
        <v>61</v>
      </c>
      <c r="G18" s="13" t="str">
        <f t="shared" si="4"/>
        <v>47107.262</v>
      </c>
      <c r="H18" s="9">
        <f t="shared" si="5"/>
        <v>7456</v>
      </c>
      <c r="I18" s="45" t="s">
        <v>145</v>
      </c>
      <c r="J18" s="46" t="s">
        <v>146</v>
      </c>
      <c r="K18" s="45">
        <v>7456</v>
      </c>
      <c r="L18" s="45" t="s">
        <v>147</v>
      </c>
      <c r="M18" s="46" t="s">
        <v>108</v>
      </c>
      <c r="N18" s="46"/>
      <c r="O18" s="47" t="s">
        <v>109</v>
      </c>
      <c r="P18" s="47" t="s">
        <v>148</v>
      </c>
    </row>
    <row r="19" spans="1:16" ht="12.75" customHeight="1" thickBot="1">
      <c r="A19" s="9" t="str">
        <f t="shared" si="0"/>
        <v>BAVM 201 </v>
      </c>
      <c r="B19" s="16" t="str">
        <f t="shared" si="1"/>
        <v>I</v>
      </c>
      <c r="C19" s="9">
        <f t="shared" si="2"/>
        <v>54389.532800000001</v>
      </c>
      <c r="D19" s="13" t="str">
        <f t="shared" si="3"/>
        <v>vis</v>
      </c>
      <c r="E19" s="44">
        <f>VLOOKUP(C19,Active!C$21:E$973,3,FALSE)</f>
        <v>10678.945160191017</v>
      </c>
      <c r="F19" s="16" t="s">
        <v>61</v>
      </c>
      <c r="G19" s="13" t="str">
        <f t="shared" si="4"/>
        <v>54389.5328</v>
      </c>
      <c r="H19" s="9">
        <f t="shared" si="5"/>
        <v>10679</v>
      </c>
      <c r="I19" s="45" t="s">
        <v>153</v>
      </c>
      <c r="J19" s="46" t="s">
        <v>154</v>
      </c>
      <c r="K19" s="45">
        <v>10679</v>
      </c>
      <c r="L19" s="45" t="s">
        <v>155</v>
      </c>
      <c r="M19" s="46" t="s">
        <v>156</v>
      </c>
      <c r="N19" s="46" t="s">
        <v>157</v>
      </c>
      <c r="O19" s="47" t="s">
        <v>158</v>
      </c>
      <c r="P19" s="48" t="s">
        <v>159</v>
      </c>
    </row>
    <row r="20" spans="1:16" ht="12.75" customHeight="1" thickBot="1">
      <c r="A20" s="9" t="str">
        <f t="shared" si="0"/>
        <v>OEJV 0116 </v>
      </c>
      <c r="B20" s="16" t="str">
        <f t="shared" si="1"/>
        <v>I</v>
      </c>
      <c r="C20" s="9">
        <f t="shared" si="2"/>
        <v>54432.464999999997</v>
      </c>
      <c r="D20" s="13" t="str">
        <f t="shared" si="3"/>
        <v>vis</v>
      </c>
      <c r="E20" s="44">
        <f>VLOOKUP(C20,Active!C$21:E$973,3,FALSE)</f>
        <v>10697.945996662964</v>
      </c>
      <c r="F20" s="16" t="s">
        <v>61</v>
      </c>
      <c r="G20" s="13" t="str">
        <f t="shared" si="4"/>
        <v>54432.465</v>
      </c>
      <c r="H20" s="9">
        <f t="shared" si="5"/>
        <v>10698</v>
      </c>
      <c r="I20" s="45" t="s">
        <v>160</v>
      </c>
      <c r="J20" s="46" t="s">
        <v>161</v>
      </c>
      <c r="K20" s="45">
        <v>10698</v>
      </c>
      <c r="L20" s="45" t="s">
        <v>162</v>
      </c>
      <c r="M20" s="46" t="s">
        <v>156</v>
      </c>
      <c r="N20" s="46" t="s">
        <v>157</v>
      </c>
      <c r="O20" s="47" t="s">
        <v>163</v>
      </c>
      <c r="P20" s="48" t="s">
        <v>164</v>
      </c>
    </row>
    <row r="21" spans="1:16" ht="12.75" customHeight="1" thickBot="1">
      <c r="A21" s="9" t="str">
        <f t="shared" si="0"/>
        <v>BAVM 215 </v>
      </c>
      <c r="B21" s="16" t="str">
        <f t="shared" si="1"/>
        <v>I</v>
      </c>
      <c r="C21" s="9">
        <f t="shared" si="2"/>
        <v>55460.5219</v>
      </c>
      <c r="D21" s="13" t="str">
        <f t="shared" si="3"/>
        <v>vis</v>
      </c>
      <c r="E21" s="44">
        <f>VLOOKUP(C21,Active!C$21:E$973,3,FALSE)</f>
        <v>11152.941106178829</v>
      </c>
      <c r="F21" s="16" t="s">
        <v>61</v>
      </c>
      <c r="G21" s="13" t="str">
        <f t="shared" si="4"/>
        <v>55460.5219</v>
      </c>
      <c r="H21" s="9">
        <f t="shared" si="5"/>
        <v>11153</v>
      </c>
      <c r="I21" s="45" t="s">
        <v>179</v>
      </c>
      <c r="J21" s="46" t="s">
        <v>180</v>
      </c>
      <c r="K21" s="45" t="s">
        <v>181</v>
      </c>
      <c r="L21" s="45" t="s">
        <v>182</v>
      </c>
      <c r="M21" s="46" t="s">
        <v>156</v>
      </c>
      <c r="N21" s="46" t="s">
        <v>168</v>
      </c>
      <c r="O21" s="47" t="s">
        <v>169</v>
      </c>
      <c r="P21" s="48" t="s">
        <v>183</v>
      </c>
    </row>
    <row r="22" spans="1:16" ht="12.75" customHeight="1" thickBot="1">
      <c r="A22" s="9" t="str">
        <f t="shared" si="0"/>
        <v> VSS 4.156 </v>
      </c>
      <c r="B22" s="16" t="str">
        <f t="shared" si="1"/>
        <v>I</v>
      </c>
      <c r="C22" s="9">
        <f t="shared" si="2"/>
        <v>28335.466</v>
      </c>
      <c r="D22" s="13" t="str">
        <f t="shared" si="3"/>
        <v>vis</v>
      </c>
      <c r="E22" s="44">
        <f>VLOOKUP(C22,Active!C$21:E$973,3,FALSE)</f>
        <v>-852.00509849567732</v>
      </c>
      <c r="F22" s="16" t="s">
        <v>61</v>
      </c>
      <c r="G22" s="13" t="str">
        <f t="shared" si="4"/>
        <v>28335.466</v>
      </c>
      <c r="H22" s="9">
        <f t="shared" si="5"/>
        <v>-852</v>
      </c>
      <c r="I22" s="45" t="s">
        <v>64</v>
      </c>
      <c r="J22" s="46" t="s">
        <v>65</v>
      </c>
      <c r="K22" s="45">
        <v>-852</v>
      </c>
      <c r="L22" s="45" t="s">
        <v>66</v>
      </c>
      <c r="M22" s="46" t="s">
        <v>67</v>
      </c>
      <c r="N22" s="46"/>
      <c r="O22" s="47" t="s">
        <v>68</v>
      </c>
      <c r="P22" s="47" t="s">
        <v>69</v>
      </c>
    </row>
    <row r="23" spans="1:16" ht="12.75" customHeight="1" thickBot="1">
      <c r="A23" s="9" t="str">
        <f t="shared" si="0"/>
        <v> VSS 4.156 </v>
      </c>
      <c r="B23" s="16" t="str">
        <f t="shared" si="1"/>
        <v>I</v>
      </c>
      <c r="C23" s="9">
        <f t="shared" si="2"/>
        <v>29187.278999999999</v>
      </c>
      <c r="D23" s="13" t="str">
        <f t="shared" si="3"/>
        <v>vis</v>
      </c>
      <c r="E23" s="44">
        <f>VLOOKUP(C23,Active!C$21:E$973,3,FALSE)</f>
        <v>-475.01161766593333</v>
      </c>
      <c r="F23" s="16" t="s">
        <v>61</v>
      </c>
      <c r="G23" s="13" t="str">
        <f t="shared" si="4"/>
        <v>29187.279</v>
      </c>
      <c r="H23" s="9">
        <f t="shared" si="5"/>
        <v>-475</v>
      </c>
      <c r="I23" s="45" t="s">
        <v>70</v>
      </c>
      <c r="J23" s="46" t="s">
        <v>71</v>
      </c>
      <c r="K23" s="45">
        <v>-475</v>
      </c>
      <c r="L23" s="45" t="s">
        <v>72</v>
      </c>
      <c r="M23" s="46" t="s">
        <v>67</v>
      </c>
      <c r="N23" s="46"/>
      <c r="O23" s="47" t="s">
        <v>68</v>
      </c>
      <c r="P23" s="47" t="s">
        <v>69</v>
      </c>
    </row>
    <row r="24" spans="1:16" ht="12.75" customHeight="1" thickBot="1">
      <c r="A24" s="9" t="str">
        <f t="shared" si="0"/>
        <v> VSS 4.156 </v>
      </c>
      <c r="B24" s="16" t="str">
        <f t="shared" si="1"/>
        <v>I</v>
      </c>
      <c r="C24" s="9">
        <f t="shared" si="2"/>
        <v>29494.566999999999</v>
      </c>
      <c r="D24" s="13" t="str">
        <f t="shared" si="3"/>
        <v>vis</v>
      </c>
      <c r="E24" s="44">
        <f>VLOOKUP(C24,Active!C$21:E$973,3,FALSE)</f>
        <v>-339.01278607119269</v>
      </c>
      <c r="F24" s="16" t="s">
        <v>61</v>
      </c>
      <c r="G24" s="13" t="str">
        <f t="shared" si="4"/>
        <v>29494.567</v>
      </c>
      <c r="H24" s="9">
        <f t="shared" si="5"/>
        <v>-339</v>
      </c>
      <c r="I24" s="45" t="s">
        <v>73</v>
      </c>
      <c r="J24" s="46" t="s">
        <v>74</v>
      </c>
      <c r="K24" s="45">
        <v>-339</v>
      </c>
      <c r="L24" s="45" t="s">
        <v>75</v>
      </c>
      <c r="M24" s="46" t="s">
        <v>67</v>
      </c>
      <c r="N24" s="46"/>
      <c r="O24" s="47" t="s">
        <v>68</v>
      </c>
      <c r="P24" s="47" t="s">
        <v>69</v>
      </c>
    </row>
    <row r="25" spans="1:16" ht="12.75" customHeight="1" thickBot="1">
      <c r="A25" s="9" t="str">
        <f t="shared" si="0"/>
        <v> VSS 4.156 </v>
      </c>
      <c r="B25" s="16" t="str">
        <f t="shared" si="1"/>
        <v>I</v>
      </c>
      <c r="C25" s="9">
        <f t="shared" si="2"/>
        <v>29824.507000000001</v>
      </c>
      <c r="D25" s="13" t="str">
        <f t="shared" si="3"/>
        <v>vis</v>
      </c>
      <c r="E25" s="44">
        <f>VLOOKUP(C25,Active!C$21:E$973,3,FALSE)</f>
        <v>-192.98868328693504</v>
      </c>
      <c r="F25" s="16" t="s">
        <v>61</v>
      </c>
      <c r="G25" s="13" t="str">
        <f t="shared" si="4"/>
        <v>29824.507</v>
      </c>
      <c r="H25" s="9">
        <f t="shared" si="5"/>
        <v>-193</v>
      </c>
      <c r="I25" s="45" t="s">
        <v>76</v>
      </c>
      <c r="J25" s="46" t="s">
        <v>77</v>
      </c>
      <c r="K25" s="45">
        <v>-193</v>
      </c>
      <c r="L25" s="45" t="s">
        <v>78</v>
      </c>
      <c r="M25" s="46" t="s">
        <v>67</v>
      </c>
      <c r="N25" s="46"/>
      <c r="O25" s="47" t="s">
        <v>68</v>
      </c>
      <c r="P25" s="47" t="s">
        <v>69</v>
      </c>
    </row>
    <row r="26" spans="1:16" ht="12.75" customHeight="1" thickBot="1">
      <c r="A26" s="9" t="str">
        <f t="shared" si="0"/>
        <v> VSS 4.156 </v>
      </c>
      <c r="B26" s="16" t="str">
        <f t="shared" si="1"/>
        <v>I</v>
      </c>
      <c r="C26" s="9">
        <f t="shared" si="2"/>
        <v>30260.572</v>
      </c>
      <c r="D26" s="13" t="str">
        <f t="shared" si="3"/>
        <v>vis</v>
      </c>
      <c r="E26" s="44">
        <f>VLOOKUP(C26,Active!C$21:E$973,3,FALSE)</f>
        <v>3.9831997494273229E-3</v>
      </c>
      <c r="F26" s="16" t="s">
        <v>61</v>
      </c>
      <c r="G26" s="13" t="str">
        <f t="shared" si="4"/>
        <v>30260.572</v>
      </c>
      <c r="H26" s="9">
        <f t="shared" si="5"/>
        <v>0</v>
      </c>
      <c r="I26" s="45" t="s">
        <v>79</v>
      </c>
      <c r="J26" s="46" t="s">
        <v>80</v>
      </c>
      <c r="K26" s="45">
        <v>0</v>
      </c>
      <c r="L26" s="45" t="s">
        <v>81</v>
      </c>
      <c r="M26" s="46" t="s">
        <v>67</v>
      </c>
      <c r="N26" s="46"/>
      <c r="O26" s="47" t="s">
        <v>68</v>
      </c>
      <c r="P26" s="47" t="s">
        <v>69</v>
      </c>
    </row>
    <row r="27" spans="1:16" ht="12.75" customHeight="1" thickBot="1">
      <c r="A27" s="9" t="str">
        <f t="shared" si="0"/>
        <v> VSS 4.156 </v>
      </c>
      <c r="B27" s="16" t="str">
        <f t="shared" si="1"/>
        <v>I</v>
      </c>
      <c r="C27" s="9">
        <f t="shared" si="2"/>
        <v>30319.341</v>
      </c>
      <c r="D27" s="13" t="str">
        <f t="shared" si="3"/>
        <v>vis</v>
      </c>
      <c r="E27" s="44">
        <f>VLOOKUP(C27,Active!C$21:E$973,3,FALSE)</f>
        <v>26.013834980461105</v>
      </c>
      <c r="F27" s="16" t="s">
        <v>61</v>
      </c>
      <c r="G27" s="13" t="str">
        <f t="shared" si="4"/>
        <v>30319.341</v>
      </c>
      <c r="H27" s="9">
        <f t="shared" si="5"/>
        <v>26</v>
      </c>
      <c r="I27" s="45" t="s">
        <v>82</v>
      </c>
      <c r="J27" s="46" t="s">
        <v>83</v>
      </c>
      <c r="K27" s="45">
        <v>26</v>
      </c>
      <c r="L27" s="45" t="s">
        <v>84</v>
      </c>
      <c r="M27" s="46" t="s">
        <v>67</v>
      </c>
      <c r="N27" s="46"/>
      <c r="O27" s="47" t="s">
        <v>68</v>
      </c>
      <c r="P27" s="47" t="s">
        <v>69</v>
      </c>
    </row>
    <row r="28" spans="1:16" ht="12.75" customHeight="1" thickBot="1">
      <c r="A28" s="9" t="str">
        <f t="shared" si="0"/>
        <v> VSS 4.156 </v>
      </c>
      <c r="B28" s="16" t="str">
        <f t="shared" si="1"/>
        <v>I</v>
      </c>
      <c r="C28" s="9">
        <f t="shared" si="2"/>
        <v>30999.452000000001</v>
      </c>
      <c r="D28" s="13" t="str">
        <f t="shared" si="3"/>
        <v>vis</v>
      </c>
      <c r="E28" s="44">
        <f>VLOOKUP(C28,Active!C$21:E$973,3,FALSE)</f>
        <v>327.01583100611327</v>
      </c>
      <c r="F28" s="16" t="s">
        <v>61</v>
      </c>
      <c r="G28" s="13" t="str">
        <f t="shared" si="4"/>
        <v>30999.452</v>
      </c>
      <c r="H28" s="9">
        <f t="shared" si="5"/>
        <v>327</v>
      </c>
      <c r="I28" s="45" t="s">
        <v>85</v>
      </c>
      <c r="J28" s="46" t="s">
        <v>86</v>
      </c>
      <c r="K28" s="45">
        <v>327</v>
      </c>
      <c r="L28" s="45" t="s">
        <v>87</v>
      </c>
      <c r="M28" s="46" t="s">
        <v>67</v>
      </c>
      <c r="N28" s="46"/>
      <c r="O28" s="47" t="s">
        <v>68</v>
      </c>
      <c r="P28" s="47" t="s">
        <v>69</v>
      </c>
    </row>
    <row r="29" spans="1:16" ht="12.75" customHeight="1" thickBot="1">
      <c r="A29" s="9" t="str">
        <f t="shared" si="0"/>
        <v> VSS 4.156 </v>
      </c>
      <c r="B29" s="16" t="str">
        <f t="shared" si="1"/>
        <v>I</v>
      </c>
      <c r="C29" s="9">
        <f t="shared" si="2"/>
        <v>32888.349000000002</v>
      </c>
      <c r="D29" s="13" t="str">
        <f t="shared" si="3"/>
        <v>vis</v>
      </c>
      <c r="E29" s="44">
        <f>VLOOKUP(C29,Active!C$21:E$973,3,FALSE)</f>
        <v>1162.9996149573592</v>
      </c>
      <c r="F29" s="16" t="s">
        <v>61</v>
      </c>
      <c r="G29" s="13" t="str">
        <f t="shared" si="4"/>
        <v>32888.349</v>
      </c>
      <c r="H29" s="9">
        <f t="shared" si="5"/>
        <v>1163</v>
      </c>
      <c r="I29" s="45" t="s">
        <v>88</v>
      </c>
      <c r="J29" s="46" t="s">
        <v>89</v>
      </c>
      <c r="K29" s="45">
        <v>1163</v>
      </c>
      <c r="L29" s="45" t="s">
        <v>90</v>
      </c>
      <c r="M29" s="46" t="s">
        <v>67</v>
      </c>
      <c r="N29" s="46"/>
      <c r="O29" s="47" t="s">
        <v>68</v>
      </c>
      <c r="P29" s="47" t="s">
        <v>69</v>
      </c>
    </row>
    <row r="30" spans="1:16" ht="12.75" customHeight="1" thickBot="1">
      <c r="A30" s="9" t="str">
        <f t="shared" si="0"/>
        <v> VSS 4.156 </v>
      </c>
      <c r="B30" s="16" t="str">
        <f t="shared" si="1"/>
        <v>I</v>
      </c>
      <c r="C30" s="9">
        <f t="shared" si="2"/>
        <v>33159.542999999998</v>
      </c>
      <c r="D30" s="13" t="str">
        <f t="shared" si="3"/>
        <v>vis</v>
      </c>
      <c r="E30" s="44">
        <f>VLOOKUP(C30,Active!C$21:E$973,3,FALSE)</f>
        <v>1283.0240452491489</v>
      </c>
      <c r="F30" s="16" t="s">
        <v>61</v>
      </c>
      <c r="G30" s="13" t="str">
        <f t="shared" si="4"/>
        <v>33159.543</v>
      </c>
      <c r="H30" s="9">
        <f t="shared" si="5"/>
        <v>1283</v>
      </c>
      <c r="I30" s="45" t="s">
        <v>91</v>
      </c>
      <c r="J30" s="46" t="s">
        <v>92</v>
      </c>
      <c r="K30" s="45">
        <v>1283</v>
      </c>
      <c r="L30" s="45" t="s">
        <v>93</v>
      </c>
      <c r="M30" s="46" t="s">
        <v>67</v>
      </c>
      <c r="N30" s="46"/>
      <c r="O30" s="47" t="s">
        <v>68</v>
      </c>
      <c r="P30" s="47" t="s">
        <v>69</v>
      </c>
    </row>
    <row r="31" spans="1:16" ht="12.75" customHeight="1" thickBot="1">
      <c r="A31" s="9" t="str">
        <f t="shared" si="0"/>
        <v> VSS 4.156 </v>
      </c>
      <c r="B31" s="16" t="str">
        <f t="shared" si="1"/>
        <v>I</v>
      </c>
      <c r="C31" s="9">
        <f t="shared" si="2"/>
        <v>33568.468999999997</v>
      </c>
      <c r="D31" s="13" t="str">
        <f t="shared" si="3"/>
        <v>vis</v>
      </c>
      <c r="E31" s="44">
        <f>VLOOKUP(C31,Active!C$21:E$973,3,FALSE)</f>
        <v>1464.0055941827577</v>
      </c>
      <c r="F31" s="16" t="s">
        <v>61</v>
      </c>
      <c r="G31" s="13" t="str">
        <f t="shared" si="4"/>
        <v>33568.469</v>
      </c>
      <c r="H31" s="9">
        <f t="shared" si="5"/>
        <v>1464</v>
      </c>
      <c r="I31" s="45" t="s">
        <v>94</v>
      </c>
      <c r="J31" s="46" t="s">
        <v>95</v>
      </c>
      <c r="K31" s="45">
        <v>1464</v>
      </c>
      <c r="L31" s="45" t="s">
        <v>96</v>
      </c>
      <c r="M31" s="46" t="s">
        <v>67</v>
      </c>
      <c r="N31" s="46"/>
      <c r="O31" s="47" t="s">
        <v>68</v>
      </c>
      <c r="P31" s="47" t="s">
        <v>69</v>
      </c>
    </row>
    <row r="32" spans="1:16" ht="12.75" customHeight="1" thickBot="1">
      <c r="A32" s="9" t="str">
        <f t="shared" si="0"/>
        <v> VSS 4.156 </v>
      </c>
      <c r="B32" s="16" t="str">
        <f t="shared" si="1"/>
        <v>I</v>
      </c>
      <c r="C32" s="9">
        <f t="shared" si="2"/>
        <v>33925.489000000001</v>
      </c>
      <c r="D32" s="13" t="str">
        <f t="shared" si="3"/>
        <v>vis</v>
      </c>
      <c r="E32" s="44">
        <f>VLOOKUP(C32,Active!C$21:E$973,3,FALSE)</f>
        <v>1622.0147024328512</v>
      </c>
      <c r="F32" s="16" t="s">
        <v>61</v>
      </c>
      <c r="G32" s="13" t="str">
        <f t="shared" si="4"/>
        <v>33925.489</v>
      </c>
      <c r="H32" s="9">
        <f t="shared" si="5"/>
        <v>1622</v>
      </c>
      <c r="I32" s="45" t="s">
        <v>97</v>
      </c>
      <c r="J32" s="46" t="s">
        <v>98</v>
      </c>
      <c r="K32" s="45">
        <v>1622</v>
      </c>
      <c r="L32" s="45" t="s">
        <v>99</v>
      </c>
      <c r="M32" s="46" t="s">
        <v>67</v>
      </c>
      <c r="N32" s="46"/>
      <c r="O32" s="47" t="s">
        <v>68</v>
      </c>
      <c r="P32" s="47" t="s">
        <v>69</v>
      </c>
    </row>
    <row r="33" spans="1:16" ht="12.75" customHeight="1" thickBot="1">
      <c r="A33" s="9" t="str">
        <f t="shared" si="0"/>
        <v> VSS 4.156 </v>
      </c>
      <c r="B33" s="16" t="str">
        <f t="shared" si="1"/>
        <v>I</v>
      </c>
      <c r="C33" s="9">
        <f t="shared" si="2"/>
        <v>33950.396999999997</v>
      </c>
      <c r="D33" s="13" t="str">
        <f t="shared" si="3"/>
        <v>vis</v>
      </c>
      <c r="E33" s="44">
        <f>VLOOKUP(C33,Active!C$21:E$973,3,FALSE)</f>
        <v>1633.0384290260188</v>
      </c>
      <c r="F33" s="16" t="s">
        <v>61</v>
      </c>
      <c r="G33" s="13" t="str">
        <f t="shared" si="4"/>
        <v>33950.397</v>
      </c>
      <c r="H33" s="9">
        <f t="shared" si="5"/>
        <v>1633</v>
      </c>
      <c r="I33" s="45" t="s">
        <v>100</v>
      </c>
      <c r="J33" s="46" t="s">
        <v>101</v>
      </c>
      <c r="K33" s="45">
        <v>1633</v>
      </c>
      <c r="L33" s="45" t="s">
        <v>102</v>
      </c>
      <c r="M33" s="46" t="s">
        <v>67</v>
      </c>
      <c r="N33" s="46"/>
      <c r="O33" s="47" t="s">
        <v>68</v>
      </c>
      <c r="P33" s="47" t="s">
        <v>69</v>
      </c>
    </row>
    <row r="34" spans="1:16" ht="12.75" customHeight="1" thickBot="1">
      <c r="A34" s="9" t="str">
        <f t="shared" si="0"/>
        <v> VSS 4.156 </v>
      </c>
      <c r="B34" s="16" t="str">
        <f t="shared" si="1"/>
        <v>I</v>
      </c>
      <c r="C34" s="9">
        <f t="shared" si="2"/>
        <v>33977.396000000001</v>
      </c>
      <c r="D34" s="13" t="str">
        <f t="shared" si="3"/>
        <v>vis</v>
      </c>
      <c r="E34" s="44">
        <f>VLOOKUP(C34,Active!C$21:E$973,3,FALSE)</f>
        <v>1644.9875856941178</v>
      </c>
      <c r="F34" s="16" t="s">
        <v>61</v>
      </c>
      <c r="G34" s="13" t="str">
        <f t="shared" si="4"/>
        <v>33977.396</v>
      </c>
      <c r="H34" s="9">
        <f t="shared" si="5"/>
        <v>1645</v>
      </c>
      <c r="I34" s="45" t="s">
        <v>103</v>
      </c>
      <c r="J34" s="46" t="s">
        <v>104</v>
      </c>
      <c r="K34" s="45">
        <v>1645</v>
      </c>
      <c r="L34" s="45" t="s">
        <v>105</v>
      </c>
      <c r="M34" s="46" t="s">
        <v>67</v>
      </c>
      <c r="N34" s="46"/>
      <c r="O34" s="47" t="s">
        <v>68</v>
      </c>
      <c r="P34" s="47" t="s">
        <v>69</v>
      </c>
    </row>
    <row r="35" spans="1:16" ht="12.75" customHeight="1" thickBot="1">
      <c r="A35" s="9" t="str">
        <f t="shared" si="0"/>
        <v> BRNO 30 </v>
      </c>
      <c r="B35" s="16" t="str">
        <f t="shared" si="1"/>
        <v>I</v>
      </c>
      <c r="C35" s="9">
        <f t="shared" si="2"/>
        <v>47039.482000000004</v>
      </c>
      <c r="D35" s="13" t="str">
        <f t="shared" si="3"/>
        <v>vis</v>
      </c>
      <c r="E35" s="44">
        <f>VLOOKUP(C35,Active!C$21:E$973,3,FALSE)</f>
        <v>7425.9762158717258</v>
      </c>
      <c r="F35" s="16" t="s">
        <v>61</v>
      </c>
      <c r="G35" s="13" t="str">
        <f t="shared" si="4"/>
        <v>47039.482</v>
      </c>
      <c r="H35" s="9">
        <f t="shared" si="5"/>
        <v>7426</v>
      </c>
      <c r="I35" s="45" t="s">
        <v>135</v>
      </c>
      <c r="J35" s="46" t="s">
        <v>136</v>
      </c>
      <c r="K35" s="45">
        <v>7426</v>
      </c>
      <c r="L35" s="45" t="s">
        <v>137</v>
      </c>
      <c r="M35" s="46" t="s">
        <v>108</v>
      </c>
      <c r="N35" s="46"/>
      <c r="O35" s="47" t="s">
        <v>138</v>
      </c>
      <c r="P35" s="47" t="s">
        <v>139</v>
      </c>
    </row>
    <row r="36" spans="1:16" ht="12.75" customHeight="1" thickBot="1">
      <c r="A36" s="9" t="str">
        <f t="shared" si="0"/>
        <v> BRNO 30 </v>
      </c>
      <c r="B36" s="16" t="str">
        <f t="shared" si="1"/>
        <v>I</v>
      </c>
      <c r="C36" s="9">
        <f t="shared" si="2"/>
        <v>47039.482000000004</v>
      </c>
      <c r="D36" s="13" t="str">
        <f t="shared" si="3"/>
        <v>vis</v>
      </c>
      <c r="E36" s="44">
        <f>VLOOKUP(C36,Active!C$21:E$973,3,FALSE)</f>
        <v>7425.9762158717258</v>
      </c>
      <c r="F36" s="16" t="s">
        <v>61</v>
      </c>
      <c r="G36" s="13" t="str">
        <f t="shared" si="4"/>
        <v>47039.482</v>
      </c>
      <c r="H36" s="9">
        <f t="shared" si="5"/>
        <v>7426</v>
      </c>
      <c r="I36" s="45" t="s">
        <v>135</v>
      </c>
      <c r="J36" s="46" t="s">
        <v>136</v>
      </c>
      <c r="K36" s="45">
        <v>7426</v>
      </c>
      <c r="L36" s="45" t="s">
        <v>137</v>
      </c>
      <c r="M36" s="46" t="s">
        <v>108</v>
      </c>
      <c r="N36" s="46"/>
      <c r="O36" s="47" t="s">
        <v>140</v>
      </c>
      <c r="P36" s="47" t="s">
        <v>139</v>
      </c>
    </row>
    <row r="37" spans="1:16" ht="12.75" customHeight="1" thickBot="1">
      <c r="A37" s="9" t="str">
        <f t="shared" si="0"/>
        <v> BRNO 30 </v>
      </c>
      <c r="B37" s="16" t="str">
        <f t="shared" si="1"/>
        <v>I</v>
      </c>
      <c r="C37" s="9">
        <f t="shared" si="2"/>
        <v>47039.483</v>
      </c>
      <c r="D37" s="13" t="str">
        <f t="shared" si="3"/>
        <v>vis</v>
      </c>
      <c r="E37" s="44">
        <f>VLOOKUP(C37,Active!C$21:E$973,3,FALSE)</f>
        <v>7425.9766584494737</v>
      </c>
      <c r="F37" s="16" t="s">
        <v>61</v>
      </c>
      <c r="G37" s="13" t="str">
        <f t="shared" si="4"/>
        <v>47039.483</v>
      </c>
      <c r="H37" s="9">
        <f t="shared" si="5"/>
        <v>7426</v>
      </c>
      <c r="I37" s="45" t="s">
        <v>141</v>
      </c>
      <c r="J37" s="46" t="s">
        <v>142</v>
      </c>
      <c r="K37" s="45">
        <v>7426</v>
      </c>
      <c r="L37" s="45" t="s">
        <v>143</v>
      </c>
      <c r="M37" s="46" t="s">
        <v>108</v>
      </c>
      <c r="N37" s="46"/>
      <c r="O37" s="47" t="s">
        <v>144</v>
      </c>
      <c r="P37" s="47" t="s">
        <v>139</v>
      </c>
    </row>
    <row r="38" spans="1:16" ht="12.75" customHeight="1" thickBot="1">
      <c r="A38" s="9" t="str">
        <f t="shared" si="0"/>
        <v> BBS 126 </v>
      </c>
      <c r="B38" s="16" t="str">
        <f t="shared" si="1"/>
        <v>I</v>
      </c>
      <c r="C38" s="9">
        <f t="shared" si="2"/>
        <v>52150.415999999997</v>
      </c>
      <c r="D38" s="13" t="str">
        <f t="shared" si="3"/>
        <v>vis</v>
      </c>
      <c r="E38" s="44">
        <f>VLOOKUP(C38,Active!C$21:E$973,3,FALSE)</f>
        <v>9687.9618852041822</v>
      </c>
      <c r="F38" s="16" t="s">
        <v>61</v>
      </c>
      <c r="G38" s="13" t="str">
        <f t="shared" si="4"/>
        <v>52150.416</v>
      </c>
      <c r="H38" s="9">
        <f t="shared" si="5"/>
        <v>9688</v>
      </c>
      <c r="I38" s="45" t="s">
        <v>149</v>
      </c>
      <c r="J38" s="46" t="s">
        <v>150</v>
      </c>
      <c r="K38" s="45">
        <v>9688</v>
      </c>
      <c r="L38" s="45" t="s">
        <v>151</v>
      </c>
      <c r="M38" s="46" t="s">
        <v>108</v>
      </c>
      <c r="N38" s="46"/>
      <c r="O38" s="47" t="s">
        <v>109</v>
      </c>
      <c r="P38" s="47" t="s">
        <v>152</v>
      </c>
    </row>
    <row r="39" spans="1:16" ht="12.75" customHeight="1" thickBot="1">
      <c r="A39" s="9" t="str">
        <f t="shared" si="0"/>
        <v>BAVM 212 </v>
      </c>
      <c r="B39" s="16" t="str">
        <f t="shared" si="1"/>
        <v>I</v>
      </c>
      <c r="C39" s="9">
        <f t="shared" si="2"/>
        <v>55067.373299999999</v>
      </c>
      <c r="D39" s="13" t="str">
        <f t="shared" si="3"/>
        <v>vis</v>
      </c>
      <c r="E39" s="44">
        <f>VLOOKUP(C39,Active!C$21:E$973,3,FALSE)</f>
        <v>10978.942283435643</v>
      </c>
      <c r="F39" s="16" t="s">
        <v>61</v>
      </c>
      <c r="G39" s="13" t="str">
        <f t="shared" si="4"/>
        <v>55067.3733</v>
      </c>
      <c r="H39" s="9">
        <f t="shared" si="5"/>
        <v>10979</v>
      </c>
      <c r="I39" s="45" t="s">
        <v>165</v>
      </c>
      <c r="J39" s="46" t="s">
        <v>166</v>
      </c>
      <c r="K39" s="45">
        <v>10979</v>
      </c>
      <c r="L39" s="45" t="s">
        <v>167</v>
      </c>
      <c r="M39" s="46" t="s">
        <v>156</v>
      </c>
      <c r="N39" s="46" t="s">
        <v>168</v>
      </c>
      <c r="O39" s="47" t="s">
        <v>169</v>
      </c>
      <c r="P39" s="48" t="s">
        <v>170</v>
      </c>
    </row>
    <row r="40" spans="1:16" ht="12.75" customHeight="1" thickBot="1">
      <c r="A40" s="9" t="str">
        <f t="shared" si="0"/>
        <v>BAVM 212 </v>
      </c>
      <c r="B40" s="16" t="str">
        <f t="shared" si="1"/>
        <v>I</v>
      </c>
      <c r="C40" s="9">
        <f t="shared" si="2"/>
        <v>55076.4035</v>
      </c>
      <c r="D40" s="13" t="str">
        <f t="shared" si="3"/>
        <v>vis</v>
      </c>
      <c r="E40" s="44">
        <f>VLOOKUP(C40,Active!C$21:E$973,3,FALSE)</f>
        <v>10982.938849032305</v>
      </c>
      <c r="F40" s="16" t="s">
        <v>61</v>
      </c>
      <c r="G40" s="13" t="str">
        <f t="shared" si="4"/>
        <v>55076.4035</v>
      </c>
      <c r="H40" s="9">
        <f t="shared" si="5"/>
        <v>10983</v>
      </c>
      <c r="I40" s="45" t="s">
        <v>171</v>
      </c>
      <c r="J40" s="46" t="s">
        <v>172</v>
      </c>
      <c r="K40" s="45" t="s">
        <v>173</v>
      </c>
      <c r="L40" s="45" t="s">
        <v>174</v>
      </c>
      <c r="M40" s="46" t="s">
        <v>156</v>
      </c>
      <c r="N40" s="46" t="s">
        <v>168</v>
      </c>
      <c r="O40" s="47" t="s">
        <v>169</v>
      </c>
      <c r="P40" s="48" t="s">
        <v>170</v>
      </c>
    </row>
    <row r="41" spans="1:16" ht="12.75" customHeight="1" thickBot="1">
      <c r="A41" s="9" t="str">
        <f t="shared" si="0"/>
        <v>BAVM 212 </v>
      </c>
      <c r="B41" s="16" t="str">
        <f t="shared" si="1"/>
        <v>I</v>
      </c>
      <c r="C41" s="9">
        <f t="shared" si="2"/>
        <v>55155.492200000001</v>
      </c>
      <c r="D41" s="13" t="str">
        <f t="shared" si="3"/>
        <v>vis</v>
      </c>
      <c r="E41" s="44">
        <f>VLOOKUP(C41,Active!C$21:E$973,3,FALSE)</f>
        <v>11017.941747916566</v>
      </c>
      <c r="F41" s="16" t="s">
        <v>61</v>
      </c>
      <c r="G41" s="13" t="str">
        <f t="shared" si="4"/>
        <v>55155.4922</v>
      </c>
      <c r="H41" s="9">
        <f t="shared" si="5"/>
        <v>11018</v>
      </c>
      <c r="I41" s="45" t="s">
        <v>175</v>
      </c>
      <c r="J41" s="46" t="s">
        <v>176</v>
      </c>
      <c r="K41" s="45" t="s">
        <v>177</v>
      </c>
      <c r="L41" s="45" t="s">
        <v>178</v>
      </c>
      <c r="M41" s="46" t="s">
        <v>156</v>
      </c>
      <c r="N41" s="46" t="s">
        <v>168</v>
      </c>
      <c r="O41" s="47" t="s">
        <v>169</v>
      </c>
      <c r="P41" s="48" t="s">
        <v>170</v>
      </c>
    </row>
    <row r="42" spans="1:16">
      <c r="B42" s="16"/>
      <c r="F42" s="16"/>
    </row>
    <row r="43" spans="1:16">
      <c r="B43" s="16"/>
      <c r="F43" s="16"/>
    </row>
    <row r="44" spans="1:16">
      <c r="B44" s="16"/>
      <c r="F44" s="16"/>
    </row>
    <row r="45" spans="1:16">
      <c r="B45" s="16"/>
      <c r="F45" s="16"/>
    </row>
    <row r="46" spans="1:16">
      <c r="B46" s="16"/>
      <c r="F46" s="16"/>
    </row>
    <row r="47" spans="1:16">
      <c r="B47" s="16"/>
      <c r="F47" s="16"/>
    </row>
    <row r="48" spans="1:16">
      <c r="B48" s="16"/>
      <c r="F48" s="16"/>
    </row>
    <row r="49" spans="2:6">
      <c r="B49" s="16"/>
      <c r="F49" s="16"/>
    </row>
    <row r="50" spans="2:6">
      <c r="B50" s="16"/>
      <c r="F50" s="16"/>
    </row>
    <row r="51" spans="2:6">
      <c r="B51" s="16"/>
      <c r="F51" s="16"/>
    </row>
    <row r="52" spans="2:6">
      <c r="B52" s="16"/>
      <c r="F52" s="16"/>
    </row>
    <row r="53" spans="2:6">
      <c r="B53" s="16"/>
      <c r="F53" s="16"/>
    </row>
    <row r="54" spans="2:6">
      <c r="B54" s="16"/>
      <c r="F54" s="16"/>
    </row>
    <row r="55" spans="2:6">
      <c r="B55" s="16"/>
      <c r="F55" s="16"/>
    </row>
    <row r="56" spans="2:6">
      <c r="B56" s="16"/>
      <c r="F56" s="16"/>
    </row>
    <row r="57" spans="2:6">
      <c r="B57" s="16"/>
      <c r="F57" s="16"/>
    </row>
    <row r="58" spans="2:6">
      <c r="B58" s="16"/>
      <c r="F58" s="16"/>
    </row>
    <row r="59" spans="2:6">
      <c r="B59" s="16"/>
      <c r="F59" s="16"/>
    </row>
    <row r="60" spans="2:6">
      <c r="B60" s="16"/>
      <c r="F60" s="16"/>
    </row>
    <row r="61" spans="2:6">
      <c r="B61" s="16"/>
      <c r="F61" s="16"/>
    </row>
    <row r="62" spans="2:6">
      <c r="B62" s="16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</sheetData>
  <phoneticPr fontId="7" type="noConversion"/>
  <hyperlinks>
    <hyperlink ref="P19" r:id="rId1" display="http://www.bav-astro.de/sfs/BAVM_link.php?BAVMnr=201"/>
    <hyperlink ref="P20" r:id="rId2" display="http://var.astro.cz/oejv/issues/oejv0116.pdf"/>
    <hyperlink ref="P39" r:id="rId3" display="http://www.bav-astro.de/sfs/BAVM_link.php?BAVMnr=212"/>
    <hyperlink ref="P40" r:id="rId4" display="http://www.bav-astro.de/sfs/BAVM_link.php?BAVMnr=212"/>
    <hyperlink ref="P41" r:id="rId5" display="http://www.bav-astro.de/sfs/BAVM_link.php?BAVMnr=212"/>
    <hyperlink ref="P21" r:id="rId6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2024-01-19T05:55:12Z</dcterms:modified>
</cp:coreProperties>
</file>