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7BB73C-3BAA-4F19-9D27-E010FFE627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6" i="1" l="1"/>
  <c r="F66" i="1"/>
  <c r="E69" i="1"/>
  <c r="F69" i="1"/>
  <c r="Q71" i="1"/>
  <c r="Q70" i="1"/>
  <c r="C7" i="1"/>
  <c r="E71" i="1"/>
  <c r="F71" i="1"/>
  <c r="C8" i="1"/>
  <c r="E22" i="1"/>
  <c r="F22" i="1"/>
  <c r="G22" i="1"/>
  <c r="I22" i="1"/>
  <c r="E25" i="1"/>
  <c r="F25" i="1"/>
  <c r="G25" i="1"/>
  <c r="I25" i="1"/>
  <c r="E26" i="1"/>
  <c r="F26" i="1"/>
  <c r="E29" i="1"/>
  <c r="F29" i="1"/>
  <c r="E30" i="1"/>
  <c r="F30" i="1"/>
  <c r="G30" i="1"/>
  <c r="I30" i="1"/>
  <c r="E31" i="1"/>
  <c r="F31" i="1"/>
  <c r="G31" i="1"/>
  <c r="I31" i="1"/>
  <c r="E33" i="1"/>
  <c r="F33" i="1"/>
  <c r="G33" i="1"/>
  <c r="I33" i="1"/>
  <c r="E34" i="1"/>
  <c r="F34" i="1"/>
  <c r="G34" i="1"/>
  <c r="I34" i="1"/>
  <c r="E36" i="1"/>
  <c r="F36" i="1"/>
  <c r="G36" i="1"/>
  <c r="E37" i="1"/>
  <c r="F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4" i="1"/>
  <c r="F44" i="1"/>
  <c r="G44" i="1"/>
  <c r="E45" i="1"/>
  <c r="F45" i="1"/>
  <c r="G45" i="1"/>
  <c r="I45" i="1"/>
  <c r="E46" i="1"/>
  <c r="F46" i="1"/>
  <c r="G46" i="1"/>
  <c r="I46" i="1"/>
  <c r="E47" i="1"/>
  <c r="F47" i="1"/>
  <c r="G47" i="1"/>
  <c r="I47" i="1"/>
  <c r="E60" i="1"/>
  <c r="F60" i="1"/>
  <c r="G60" i="1"/>
  <c r="I60" i="1"/>
  <c r="D9" i="1"/>
  <c r="C9" i="1"/>
  <c r="E56" i="1"/>
  <c r="F56" i="1"/>
  <c r="G56" i="1"/>
  <c r="J56" i="1"/>
  <c r="E57" i="1"/>
  <c r="F57" i="1"/>
  <c r="G57" i="1"/>
  <c r="J57" i="1"/>
  <c r="E48" i="1"/>
  <c r="F48" i="1"/>
  <c r="G48" i="1"/>
  <c r="I48" i="1"/>
  <c r="E53" i="1"/>
  <c r="F53" i="1"/>
  <c r="G53" i="1"/>
  <c r="I53" i="1"/>
  <c r="E54" i="1"/>
  <c r="F54" i="1"/>
  <c r="G54" i="1"/>
  <c r="E58" i="1"/>
  <c r="F58" i="1"/>
  <c r="G58" i="1"/>
  <c r="E59" i="1"/>
  <c r="F59" i="1"/>
  <c r="G59" i="1"/>
  <c r="J59" i="1"/>
  <c r="E62" i="1"/>
  <c r="F62" i="1"/>
  <c r="E55" i="1"/>
  <c r="F55" i="1"/>
  <c r="G55" i="1"/>
  <c r="I55" i="1"/>
  <c r="E23" i="1"/>
  <c r="F23" i="1"/>
  <c r="G23" i="1"/>
  <c r="H23" i="1"/>
  <c r="E61" i="1"/>
  <c r="F61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Q41" i="1"/>
  <c r="Q42" i="1"/>
  <c r="Q43" i="1"/>
  <c r="I44" i="1"/>
  <c r="Q44" i="1"/>
  <c r="Q45" i="1"/>
  <c r="Q46" i="1"/>
  <c r="Q47" i="1"/>
  <c r="Q60" i="1"/>
  <c r="Q67" i="1"/>
  <c r="G25" i="2"/>
  <c r="C25" i="2"/>
  <c r="E25" i="2"/>
  <c r="G24" i="2"/>
  <c r="C24" i="2"/>
  <c r="G55" i="2"/>
  <c r="C55" i="2"/>
  <c r="G54" i="2"/>
  <c r="C54" i="2"/>
  <c r="E54" i="2"/>
  <c r="G23" i="2"/>
  <c r="C23" i="2"/>
  <c r="G22" i="2"/>
  <c r="C22" i="2"/>
  <c r="G21" i="2"/>
  <c r="C21" i="2"/>
  <c r="G20" i="2"/>
  <c r="C20" i="2"/>
  <c r="E20" i="2"/>
  <c r="G19" i="2"/>
  <c r="C19" i="2"/>
  <c r="E19" i="2"/>
  <c r="G53" i="2"/>
  <c r="C53" i="2"/>
  <c r="E53" i="2"/>
  <c r="G52" i="2"/>
  <c r="C52" i="2"/>
  <c r="E52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G13" i="2"/>
  <c r="C13" i="2"/>
  <c r="G12" i="2"/>
  <c r="C12" i="2"/>
  <c r="G11" i="2"/>
  <c r="C11" i="2"/>
  <c r="E11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28" i="2"/>
  <c r="C28" i="2"/>
  <c r="G27" i="2"/>
  <c r="C27" i="2"/>
  <c r="E27" i="2"/>
  <c r="G26" i="2"/>
  <c r="C26" i="2"/>
  <c r="H25" i="2"/>
  <c r="D25" i="2"/>
  <c r="B25" i="2"/>
  <c r="A25" i="2"/>
  <c r="H24" i="2"/>
  <c r="D24" i="2"/>
  <c r="B24" i="2"/>
  <c r="A24" i="2"/>
  <c r="H55" i="2"/>
  <c r="D55" i="2"/>
  <c r="B55" i="2"/>
  <c r="A55" i="2"/>
  <c r="H54" i="2"/>
  <c r="D54" i="2"/>
  <c r="B54" i="2"/>
  <c r="A5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53" i="2"/>
  <c r="D53" i="2"/>
  <c r="B53" i="2"/>
  <c r="A53" i="2"/>
  <c r="H52" i="2"/>
  <c r="D52" i="2"/>
  <c r="B52" i="2"/>
  <c r="A5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Q69" i="1"/>
  <c r="Q68" i="1"/>
  <c r="Q64" i="1"/>
  <c r="F16" i="1"/>
  <c r="Q66" i="1"/>
  <c r="C17" i="1"/>
  <c r="Q65" i="1"/>
  <c r="Q56" i="1"/>
  <c r="Q57" i="1"/>
  <c r="Q48" i="1"/>
  <c r="Q53" i="1"/>
  <c r="Q54" i="1"/>
  <c r="Q58" i="1"/>
  <c r="Q59" i="1"/>
  <c r="Q62" i="1"/>
  <c r="Q63" i="1"/>
  <c r="Q61" i="1"/>
  <c r="Q55" i="1"/>
  <c r="Q49" i="1"/>
  <c r="Q50" i="1"/>
  <c r="Q51" i="1"/>
  <c r="Q52" i="1"/>
  <c r="I54" i="1"/>
  <c r="J58" i="1"/>
  <c r="Q23" i="1"/>
  <c r="E21" i="2"/>
  <c r="E39" i="2"/>
  <c r="E23" i="2"/>
  <c r="E32" i="2"/>
  <c r="E28" i="1"/>
  <c r="F28" i="1"/>
  <c r="G28" i="1"/>
  <c r="I28" i="1"/>
  <c r="G65" i="1"/>
  <c r="J65" i="1"/>
  <c r="E63" i="1"/>
  <c r="F63" i="1"/>
  <c r="G63" i="1"/>
  <c r="I63" i="1"/>
  <c r="E52" i="1"/>
  <c r="F52" i="1"/>
  <c r="G52" i="1"/>
  <c r="J52" i="1"/>
  <c r="E50" i="1"/>
  <c r="F50" i="1"/>
  <c r="G50" i="1"/>
  <c r="J50" i="1"/>
  <c r="E68" i="1"/>
  <c r="F68" i="1"/>
  <c r="G68" i="1"/>
  <c r="K68" i="1"/>
  <c r="G62" i="1"/>
  <c r="G67" i="1"/>
  <c r="K67" i="1"/>
  <c r="E65" i="1"/>
  <c r="F65" i="1"/>
  <c r="E43" i="1"/>
  <c r="F43" i="1"/>
  <c r="G43" i="1"/>
  <c r="I43" i="1"/>
  <c r="G37" i="1"/>
  <c r="I37" i="1"/>
  <c r="E35" i="1"/>
  <c r="F35" i="1"/>
  <c r="G35" i="1"/>
  <c r="I35" i="1"/>
  <c r="G29" i="1"/>
  <c r="I29" i="1"/>
  <c r="E27" i="1"/>
  <c r="F27" i="1"/>
  <c r="G27" i="1"/>
  <c r="I27" i="1"/>
  <c r="E21" i="1"/>
  <c r="G51" i="1"/>
  <c r="J51" i="1"/>
  <c r="E70" i="1"/>
  <c r="F70" i="1"/>
  <c r="G70" i="1"/>
  <c r="I70" i="1"/>
  <c r="G71" i="1"/>
  <c r="I71" i="1"/>
  <c r="E32" i="1"/>
  <c r="F32" i="1"/>
  <c r="G32" i="1"/>
  <c r="I32" i="1"/>
  <c r="G26" i="1"/>
  <c r="I26" i="1"/>
  <c r="E24" i="1"/>
  <c r="F24" i="1"/>
  <c r="G24" i="1"/>
  <c r="I24" i="1"/>
  <c r="G69" i="1"/>
  <c r="J69" i="1"/>
  <c r="E67" i="1"/>
  <c r="F67" i="1"/>
  <c r="E51" i="1"/>
  <c r="F51" i="1"/>
  <c r="E49" i="1"/>
  <c r="F49" i="1"/>
  <c r="G49" i="1"/>
  <c r="J49" i="1"/>
  <c r="G66" i="1"/>
  <c r="J66" i="1"/>
  <c r="E64" i="1"/>
  <c r="E12" i="2"/>
  <c r="F64" i="1"/>
  <c r="G64" i="1"/>
  <c r="E22" i="2"/>
  <c r="E24" i="2"/>
  <c r="E47" i="2"/>
  <c r="E14" i="2"/>
  <c r="E28" i="2"/>
  <c r="E13" i="2"/>
  <c r="E36" i="2"/>
  <c r="E31" i="2"/>
  <c r="F21" i="1"/>
  <c r="G21" i="1"/>
  <c r="I21" i="1"/>
  <c r="E26" i="2"/>
  <c r="I62" i="1"/>
  <c r="E55" i="2"/>
  <c r="I64" i="1"/>
  <c r="C12" i="1"/>
  <c r="C11" i="1"/>
  <c r="O29" i="1" l="1"/>
  <c r="O32" i="1"/>
  <c r="O35" i="1"/>
  <c r="O48" i="1"/>
  <c r="O67" i="1"/>
  <c r="O62" i="1"/>
  <c r="O26" i="1"/>
  <c r="O37" i="1"/>
  <c r="O40" i="1"/>
  <c r="O43" i="1"/>
  <c r="O59" i="1"/>
  <c r="O54" i="1"/>
  <c r="O49" i="1"/>
  <c r="O58" i="1"/>
  <c r="O39" i="1"/>
  <c r="O27" i="1"/>
  <c r="O71" i="1"/>
  <c r="O34" i="1"/>
  <c r="O24" i="1"/>
  <c r="O46" i="1"/>
  <c r="O53" i="1"/>
  <c r="O45" i="1"/>
  <c r="O60" i="1"/>
  <c r="O55" i="1"/>
  <c r="O68" i="1"/>
  <c r="O23" i="1"/>
  <c r="O50" i="1"/>
  <c r="O42" i="1"/>
  <c r="O36" i="1"/>
  <c r="O25" i="1"/>
  <c r="O41" i="1"/>
  <c r="C15" i="1"/>
  <c r="O69" i="1"/>
  <c r="O64" i="1"/>
  <c r="O56" i="1"/>
  <c r="O28" i="1"/>
  <c r="O22" i="1"/>
  <c r="O63" i="1"/>
  <c r="O57" i="1"/>
  <c r="O21" i="1"/>
  <c r="O70" i="1"/>
  <c r="O31" i="1"/>
  <c r="O52" i="1"/>
  <c r="O30" i="1"/>
  <c r="O44" i="1"/>
  <c r="O51" i="1"/>
  <c r="O66" i="1"/>
  <c r="O61" i="1"/>
  <c r="O38" i="1"/>
  <c r="O33" i="1"/>
  <c r="O65" i="1"/>
  <c r="O4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<sst xmlns="http://schemas.openxmlformats.org/spreadsheetml/2006/main" count="547" uniqueCount="257">
  <si>
    <t>OEJV 0191</t>
  </si>
  <si>
    <t>OEJV 0181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</si>
  <si>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</si>
  <si>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</si>
  <si>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</si>
  <si>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</si>
  <si>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</si>
  <si>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</si>
  <si>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</si>
  <si>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</si>
  <si>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</si>
  <si>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</si>
  <si>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</si>
  <si>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</si>
  <si>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</si>
  <si>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</si>
  <si>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</si>
  <si>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</si>
  <si>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</si>
  <si>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</si>
  <si>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</si>
  <si>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</si>
  <si>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</si>
  <si>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</si>
  <si>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</si>
  <si>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</si>
  <si>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</si>
  <si>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</si>
  <si>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</si>
  <si>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</si>
  <si>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:</t>
  </si>
  <si>
    <t>v</t>
  </si>
  <si>
    <t>BAV-M 34</t>
  </si>
  <si>
    <t>K</t>
  </si>
  <si>
    <t>S</t>
  </si>
  <si>
    <t>phe</t>
  </si>
  <si>
    <t>IBVS 2944</t>
  </si>
  <si>
    <t>pg</t>
  </si>
  <si>
    <t>BAV-M 38</t>
  </si>
  <si>
    <t>BAV-M 39</t>
  </si>
  <si>
    <t>Diethelm R</t>
  </si>
  <si>
    <t>BBSAG Bull.76</t>
  </si>
  <si>
    <t>B</t>
  </si>
  <si>
    <t>BAAVSS 63,19</t>
  </si>
  <si>
    <t>BAAVSS 66,32</t>
  </si>
  <si>
    <t>BAV-M 50</t>
  </si>
  <si>
    <t>V</t>
  </si>
  <si>
    <t>B    36</t>
  </si>
  <si>
    <t>Blaettler E</t>
  </si>
  <si>
    <t>BBSAG Bull.105</t>
  </si>
  <si>
    <t>BAV-M 60</t>
  </si>
  <si>
    <t>II</t>
  </si>
  <si>
    <t>I</t>
  </si>
  <si>
    <t># of data points:</t>
  </si>
  <si>
    <t>EA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</si>
  <si>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</si>
  <si>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</si>
  <si>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</si>
  <si>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</si>
  <si>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</si>
  <si>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</si>
  <si>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</si>
  <si>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</si>
  <si>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Add cycle</t>
  </si>
  <si>
    <t>Old Cycle</t>
  </si>
  <si>
    <t>BAD?</t>
  </si>
  <si>
    <t>IBVS 6114</t>
  </si>
  <si>
    <t>JAVSO..41..122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</si>
  <si>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</si>
  <si>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</si>
  <si>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</si>
  <si>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</si>
  <si>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</si>
  <si>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</si>
  <si>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</si>
  <si>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</si>
  <si>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</si>
  <si>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vis</t>
  </si>
  <si>
    <t> -0.003 </t>
  </si>
  <si>
    <t>F </t>
  </si>
  <si>
    <t>2425554.291 </t>
  </si>
  <si>
    <t> 03.11.1928 18:59 </t>
  </si>
  <si>
    <t> -0.029 </t>
  </si>
  <si>
    <t>P </t>
  </si>
  <si>
    <t> W.Strohmeier </t>
  </si>
  <si>
    <t> VB 5.3 </t>
  </si>
  <si>
    <t>2425554.317 </t>
  </si>
  <si>
    <t> 03.11.1928 19:36 </t>
  </si>
  <si>
    <t>2425554.351 </t>
  </si>
  <si>
    <t> 03.11.1928 20:25 </t>
  </si>
  <si>
    <t> 0.031 </t>
  </si>
  <si>
    <t>2425585.456 </t>
  </si>
  <si>
    <t> 04.12.1928 22:56 </t>
  </si>
  <si>
    <t> -0.025 </t>
  </si>
  <si>
    <t>2425621.200 </t>
  </si>
  <si>
    <t> 09.01.1929 16:48 </t>
  </si>
  <si>
    <t> 0.105 </t>
  </si>
  <si>
    <t>2426413.308 </t>
  </si>
  <si>
    <t> 12.03.1931 19:23 </t>
  </si>
  <si>
    <t> -0.179 </t>
  </si>
  <si>
    <t>2426422.310 </t>
  </si>
  <si>
    <t> 21.03.1931 19:26 </t>
  </si>
  <si>
    <t> -0.080 </t>
  </si>
  <si>
    <t>2426440.325 </t>
  </si>
  <si>
    <t> 08.04.1931 19:48 </t>
  </si>
  <si>
    <t> 0.128 </t>
  </si>
  <si>
    <t>2426649.374 </t>
  </si>
  <si>
    <t> 03.11.1931 20:58 </t>
  </si>
  <si>
    <t> -0.050 </t>
  </si>
  <si>
    <t>2426649.460 </t>
  </si>
  <si>
    <t> 03.11.1931 23:02 </t>
  </si>
  <si>
    <t> 0.036 </t>
  </si>
  <si>
    <t>2426649.497 </t>
  </si>
  <si>
    <t> 03.11.1931 23:55 </t>
  </si>
  <si>
    <t> 0.073 </t>
  </si>
  <si>
    <t>2428069.487 </t>
  </si>
  <si>
    <t> 23.09.1935 23:41 </t>
  </si>
  <si>
    <t> -0.011 </t>
  </si>
  <si>
    <t>2428078.410 </t>
  </si>
  <si>
    <t> 02.10.1935 21:50 </t>
  </si>
  <si>
    <t> 0.009 </t>
  </si>
  <si>
    <t>2428078.455 </t>
  </si>
  <si>
    <t> 02.10.1935 22:55 </t>
  </si>
  <si>
    <t> 0.054 </t>
  </si>
  <si>
    <t>2428127.365 </t>
  </si>
  <si>
    <t> 20.11.1935 20:45 </t>
  </si>
  <si>
    <t> -0.004 </t>
  </si>
  <si>
    <t>2428127.390 </t>
  </si>
  <si>
    <t> 20.11.1935 21:21 </t>
  </si>
  <si>
    <t> 0.021 </t>
  </si>
  <si>
    <t>2428127.437 </t>
  </si>
  <si>
    <t> 20.11.1935 22:29 </t>
  </si>
  <si>
    <t> 0.068 </t>
  </si>
  <si>
    <t>2428425.551 </t>
  </si>
  <si>
    <t> 14.09.1936 01:13 </t>
  </si>
  <si>
    <t> -0.078 </t>
  </si>
  <si>
    <t>2428750.544 </t>
  </si>
  <si>
    <t> 05.08.1937 01:03 </t>
  </si>
  <si>
    <t> -0.055 </t>
  </si>
  <si>
    <t>2428955.312 </t>
  </si>
  <si>
    <t> 25.02.1938 19:29 </t>
  </si>
  <si>
    <t> -0.062 </t>
  </si>
  <si>
    <t>2428964.326 </t>
  </si>
  <si>
    <t> 06.03.1938 19:49 </t>
  </si>
  <si>
    <t> 0.048 </t>
  </si>
  <si>
    <t>2429231.401 </t>
  </si>
  <si>
    <t> 28.11.1938 21:37 </t>
  </si>
  <si>
    <t> 0.025 </t>
  </si>
  <si>
    <t>2429231.422 </t>
  </si>
  <si>
    <t> 28.11.1938 22:07 </t>
  </si>
  <si>
    <t> 0.046 </t>
  </si>
  <si>
    <t>2436603.250 </t>
  </si>
  <si>
    <t> 03.02.1959 18:00 </t>
  </si>
  <si>
    <t> -0.045 </t>
  </si>
  <si>
    <t>2436612.265 </t>
  </si>
  <si>
    <t> 12.02.1959 18:21 </t>
  </si>
  <si>
    <t> 0.066 </t>
  </si>
  <si>
    <t>2444166.469 </t>
  </si>
  <si>
    <t> 19.10.1979 23:15 </t>
  </si>
  <si>
    <t> -0.166 </t>
  </si>
  <si>
    <t>V </t>
  </si>
  <si>
    <t> D.Lichtenknecker </t>
  </si>
  <si>
    <t>BAVM 32 </t>
  </si>
  <si>
    <t>2445021.240 </t>
  </si>
  <si>
    <t> 20.02.1982 17:45 </t>
  </si>
  <si>
    <t> -0.110 </t>
  </si>
  <si>
    <t> W.Braune </t>
  </si>
  <si>
    <t>BAVM 34 </t>
  </si>
  <si>
    <t>2445326.2437 </t>
  </si>
  <si>
    <t> 22.12.1982 17:50 </t>
  </si>
  <si>
    <t> -0.0442 </t>
  </si>
  <si>
    <t>E </t>
  </si>
  <si>
    <t>?</t>
  </si>
  <si>
    <t> T.S.Polushina </t>
  </si>
  <si>
    <t>IBVS 2944 </t>
  </si>
  <si>
    <t>2445386.3409 </t>
  </si>
  <si>
    <t> 20.02.1983 20:10 </t>
  </si>
  <si>
    <t>2445435.3089 </t>
  </si>
  <si>
    <t> 10.04.1983 19:24 </t>
  </si>
  <si>
    <t> -0.0443 </t>
  </si>
  <si>
    <t>2445653.453 </t>
  </si>
  <si>
    <t> 14.11.1983 22:52 </t>
  </si>
  <si>
    <t> -0.031 </t>
  </si>
  <si>
    <t> P.Frank </t>
  </si>
  <si>
    <t>BAVM 38 </t>
  </si>
  <si>
    <t>2445987.346 </t>
  </si>
  <si>
    <t> 13.10.1984 20:18 </t>
  </si>
  <si>
    <t>BAVM 39 </t>
  </si>
  <si>
    <t>2446116.356 </t>
  </si>
  <si>
    <t> 19.02.1985 20:32 </t>
  </si>
  <si>
    <t> -0.098 </t>
  </si>
  <si>
    <t> R.Diethelm </t>
  </si>
  <si>
    <t> BBS 76 </t>
  </si>
  <si>
    <t>2446352.3278 </t>
  </si>
  <si>
    <t> 13.10.1985 19:52 </t>
  </si>
  <si>
    <t> -0.0636 </t>
  </si>
  <si>
    <t> J.Ells </t>
  </si>
  <si>
    <t> VSSC 66.35 </t>
  </si>
  <si>
    <t>2447082.4181 </t>
  </si>
  <si>
    <t> 13.10.1987 22:02 </t>
  </si>
  <si>
    <t> -0.0426 </t>
  </si>
  <si>
    <t>B;V</t>
  </si>
  <si>
    <t> F.Agerer </t>
  </si>
  <si>
    <t>BAVM 50 </t>
  </si>
  <si>
    <t>2447603.356 </t>
  </si>
  <si>
    <t> 17.03.1989 20:32 </t>
  </si>
  <si>
    <t> 0.053 </t>
  </si>
  <si>
    <t> I.Middlemist </t>
  </si>
  <si>
    <t> VSSC 73 </t>
  </si>
  <si>
    <t>2448250.372 </t>
  </si>
  <si>
    <t> 24.12.1990 20:55 </t>
  </si>
  <si>
    <t> -0.645 </t>
  </si>
  <si>
    <t> E.Blättler </t>
  </si>
  <si>
    <t> BBS 105 </t>
  </si>
  <si>
    <t>2448560.365 </t>
  </si>
  <si>
    <t> 30.10.1991 20:45 </t>
  </si>
  <si>
    <t> -0.041 </t>
  </si>
  <si>
    <t>G</t>
  </si>
  <si>
    <t>BAVM 60 </t>
  </si>
  <si>
    <t>2448560.368 </t>
  </si>
  <si>
    <t> 30.10.1991 20:49 </t>
  </si>
  <si>
    <t> -0.038 </t>
  </si>
  <si>
    <t>2450425.611 </t>
  </si>
  <si>
    <t> 08.12.1996 02:39 </t>
  </si>
  <si>
    <t> -0.033 </t>
  </si>
  <si>
    <t> S.Cook </t>
  </si>
  <si>
    <t> JAAVSO 41;122 </t>
  </si>
  <si>
    <t>2453764.3400 </t>
  </si>
  <si>
    <t> 28.01.2006 20:09 </t>
  </si>
  <si>
    <t> -0.0354 </t>
  </si>
  <si>
    <t>C </t>
  </si>
  <si>
    <t>o</t>
  </si>
  <si>
    <t> H.Jungbluth </t>
  </si>
  <si>
    <t>BAVM 178 </t>
  </si>
  <si>
    <t>2454810.4713 </t>
  </si>
  <si>
    <t> 09.12.2008 23:18 </t>
  </si>
  <si>
    <t> -0.0399 </t>
  </si>
  <si>
    <t>R</t>
  </si>
  <si>
    <t> H.Kucáková </t>
  </si>
  <si>
    <t>OEJV 0107 </t>
  </si>
  <si>
    <t>2455883.3271 </t>
  </si>
  <si>
    <t> 17.11.2011 19:51 </t>
  </si>
  <si>
    <t> -0.0298 </t>
  </si>
  <si>
    <t>-I</t>
  </si>
  <si>
    <t>BAVM 225 </t>
  </si>
  <si>
    <t>2456199.39101 </t>
  </si>
  <si>
    <t> 28.09.2012 21:23 </t>
  </si>
  <si>
    <t>6884</t>
  </si>
  <si>
    <t> -0.03252 </t>
  </si>
  <si>
    <t> R.Uhlar </t>
  </si>
  <si>
    <t>IBVS 6114 </t>
  </si>
  <si>
    <t>2456978.4254 </t>
  </si>
  <si>
    <t> 16.11.2014 22:12 </t>
  </si>
  <si>
    <t>7059</t>
  </si>
  <si>
    <t> -0.0355 </t>
  </si>
  <si>
    <t>BAVM 239 </t>
  </si>
  <si>
    <t>V0368 Cas / GSC 03714-00749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</si>
</sst>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14" fillId="0" borderId="0"/>
    <xf numFmtId="0" fontId="14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14" fontId="14" fillId="0" borderId="0" xfId="0" applyNumberFormat="1" applyFont="1" applyAlignment="1"/>
    <xf numFmtId="0" fontId="9" fillId="0" borderId="0" xfId="0" applyFont="1" applyAlignment="1"/>
    <xf numFmtId="0" fontId="1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42" applyFont="1"/>
    <xf numFmtId="0" fontId="20" fillId="0" borderId="0" xfId="42" applyFont="1" applyAlignment="1">
      <alignment horizontal="center"/>
    </xf>
    <xf numFmtId="0" fontId="20" fillId="0" borderId="0" xfId="42" applyFont="1" applyAlignment="1">
      <alignment horizontal="left"/>
    </xf>
    <xf numFmtId="0" fontId="9" fillId="0" borderId="0" xfId="42" applyFont="1" applyAlignment="1">
      <alignment horizontal="left"/>
    </xf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9" fillId="0" borderId="0" xfId="43" applyFont="1"/>
    <xf numFmtId="0" fontId="37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Cas - O-C Diagr.</a:t>
            </a:r>
          </a:p>
        </c:rich>
      </c:tx>
      <c:layout>
        <c:manualLayout>
          <c:xMode val="edge"/>
          <c:yMode val="edge"/>
          <c:x val="0.3566556484193741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7578014660115"/>
          <c:y val="0.14769252958613219"/>
          <c:w val="0.805461421999505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59-4399-9C6D-995310E2FC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-2.899999999863212E-2</c:v>
                </c:pt>
                <c:pt idx="1">
                  <c:v>-3.0000000006111804E-3</c:v>
                </c:pt>
                <c:pt idx="3">
                  <c:v>3.0999999999039574E-2</c:v>
                </c:pt>
                <c:pt idx="4">
                  <c:v>-2.549400000134483E-2</c:v>
                </c:pt>
                <c:pt idx="5">
                  <c:v>0.10537000000113039</c:v>
                </c:pt>
                <c:pt idx="6">
                  <c:v>-0.17890599999736878</c:v>
                </c:pt>
                <c:pt idx="7">
                  <c:v>-8.0189999996946426E-2</c:v>
                </c:pt>
                <c:pt idx="8">
                  <c:v>0.1282420000025013</c:v>
                </c:pt>
                <c:pt idx="9">
                  <c:v>-4.9931999998079846E-2</c:v>
                </c:pt>
                <c:pt idx="10">
                  <c:v>3.6068000001250766E-2</c:v>
                </c:pt>
                <c:pt idx="11">
                  <c:v>7.3068000001512701E-2</c:v>
                </c:pt>
                <c:pt idx="12">
                  <c:v>-1.0729999998147832E-2</c:v>
                </c:pt>
                <c:pt idx="13">
                  <c:v>8.9860000007320195E-3</c:v>
                </c:pt>
                <c:pt idx="14">
                  <c:v>5.3986000002623769E-2</c:v>
                </c:pt>
                <c:pt idx="15">
                  <c:v>-4.0759999974397942E-3</c:v>
                </c:pt>
                <c:pt idx="16">
                  <c:v>2.0924000000377418E-2</c:v>
                </c:pt>
                <c:pt idx="17">
                  <c:v>6.7924000002676621E-2</c:v>
                </c:pt>
                <c:pt idx="18">
                  <c:v>-7.8089999999065185E-2</c:v>
                </c:pt>
                <c:pt idx="19">
                  <c:v>-5.4955999996309401E-2</c:v>
                </c:pt>
                <c:pt idx="20">
                  <c:v>-6.248799999957555E-2</c:v>
                </c:pt>
                <c:pt idx="21">
                  <c:v>4.8227999999653548E-2</c:v>
                </c:pt>
                <c:pt idx="22">
                  <c:v>2.4708000000828179E-2</c:v>
                </c:pt>
                <c:pt idx="23">
                  <c:v>4.5707999997830484E-2</c:v>
                </c:pt>
                <c:pt idx="24">
                  <c:v>-4.5444000003044493E-2</c:v>
                </c:pt>
                <c:pt idx="25">
                  <c:v>6.6271999996388331E-2</c:v>
                </c:pt>
                <c:pt idx="26">
                  <c:v>-0.16620200000033947</c:v>
                </c:pt>
                <c:pt idx="27">
                  <c:v>-0.11046600000554463</c:v>
                </c:pt>
                <c:pt idx="32">
                  <c:v>-3.0630000001110602E-2</c:v>
                </c:pt>
                <c:pt idx="33">
                  <c:v>-1.0780000004160684E-2</c:v>
                </c:pt>
                <c:pt idx="34">
                  <c:v>-9.8398000001907349E-2</c:v>
                </c:pt>
                <c:pt idx="39">
                  <c:v>5.3174000000581145E-2</c:v>
                </c:pt>
                <c:pt idx="41">
                  <c:v>-4.0855999999621417E-2</c:v>
                </c:pt>
                <c:pt idx="42">
                  <c:v>-3.7855999995372258E-2</c:v>
                </c:pt>
                <c:pt idx="43">
                  <c:v>-3.2853999997314531E-2</c:v>
                </c:pt>
                <c:pt idx="49">
                  <c:v>-2.7521999996679369E-2</c:v>
                </c:pt>
                <c:pt idx="50">
                  <c:v>-3.1315999993239529E-2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59-4399-9C6D-995310E2FC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8">
                  <c:v>-4.4243000003916677E-2</c:v>
                </c:pt>
                <c:pt idx="29">
                  <c:v>-4.4410000002244487E-2</c:v>
                </c:pt>
                <c:pt idx="30">
                  <c:v>-4.4210000000020955E-2</c:v>
                </c:pt>
                <c:pt idx="31">
                  <c:v>-4.4271999999182299E-2</c:v>
                </c:pt>
                <c:pt idx="35">
                  <c:v>-6.4323999999032822E-2</c:v>
                </c:pt>
                <c:pt idx="36">
                  <c:v>-6.3624000002164394E-2</c:v>
                </c:pt>
                <c:pt idx="37">
                  <c:v>-5.0611999999091495E-2</c:v>
                </c:pt>
                <c:pt idx="38">
                  <c:v>-3.4612000003107823E-2</c:v>
                </c:pt>
                <c:pt idx="44">
                  <c:v>-3.5353999999642838E-2</c:v>
                </c:pt>
                <c:pt idx="45">
                  <c:v>-3.991400000086287E-2</c:v>
                </c:pt>
                <c:pt idx="48">
                  <c:v>-3.5477999997965526E-2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59-4399-9C6D-995310E2FC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46">
                  <c:v>-2.9845999997633044E-2</c:v>
                </c:pt>
                <c:pt idx="47">
                  <c:v>-3.2517999999981839E-2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59-4399-9C6D-995310E2FC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59-4399-9C6D-995310E2FC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59-4399-9C6D-995310E2FC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59-4399-9C6D-995310E2FC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-5.5978412325492138E-2</c:v>
                </c:pt>
                <c:pt idx="1">
                  <c:v>-5.5978412325492138E-2</c:v>
                </c:pt>
                <c:pt idx="2">
                  <c:v>-5.5978412325492138E-2</c:v>
                </c:pt>
                <c:pt idx="3">
                  <c:v>-5.5978412325492138E-2</c:v>
                </c:pt>
                <c:pt idx="4">
                  <c:v>-5.5954767755811596E-2</c:v>
                </c:pt>
                <c:pt idx="5">
                  <c:v>-5.5927745390462399E-2</c:v>
                </c:pt>
                <c:pt idx="6">
                  <c:v>-5.5326497761442828E-2</c:v>
                </c:pt>
                <c:pt idx="7">
                  <c:v>-5.5319742170105525E-2</c:v>
                </c:pt>
                <c:pt idx="8">
                  <c:v>-5.5306230987430927E-2</c:v>
                </c:pt>
                <c:pt idx="9">
                  <c:v>-5.5147474591004414E-2</c:v>
                </c:pt>
                <c:pt idx="10">
                  <c:v>-5.5147474591004414E-2</c:v>
                </c:pt>
                <c:pt idx="11">
                  <c:v>-5.5147474591004414E-2</c:v>
                </c:pt>
                <c:pt idx="12">
                  <c:v>-5.406995777270529E-2</c:v>
                </c:pt>
                <c:pt idx="13">
                  <c:v>-5.4063202181367988E-2</c:v>
                </c:pt>
                <c:pt idx="14">
                  <c:v>-5.4063202181367988E-2</c:v>
                </c:pt>
                <c:pt idx="15">
                  <c:v>-5.4026046429012847E-2</c:v>
                </c:pt>
                <c:pt idx="16">
                  <c:v>-5.4026046429012847E-2</c:v>
                </c:pt>
                <c:pt idx="17">
                  <c:v>-5.4026046429012847E-2</c:v>
                </c:pt>
                <c:pt idx="18">
                  <c:v>-5.3799734119213342E-2</c:v>
                </c:pt>
                <c:pt idx="19">
                  <c:v>-5.355315503540195E-2</c:v>
                </c:pt>
                <c:pt idx="20">
                  <c:v>-5.3397776434644079E-2</c:v>
                </c:pt>
                <c:pt idx="21">
                  <c:v>-5.3391020843306783E-2</c:v>
                </c:pt>
                <c:pt idx="22">
                  <c:v>-5.3188353103187827E-2</c:v>
                </c:pt>
                <c:pt idx="23">
                  <c:v>-5.3188353103187827E-2</c:v>
                </c:pt>
                <c:pt idx="24">
                  <c:v>-4.7594723475904599E-2</c:v>
                </c:pt>
                <c:pt idx="25">
                  <c:v>-4.7587967884567296E-2</c:v>
                </c:pt>
                <c:pt idx="26">
                  <c:v>-4.185584863486945E-2</c:v>
                </c:pt>
                <c:pt idx="27">
                  <c:v>-4.1207311866488787E-2</c:v>
                </c:pt>
                <c:pt idx="28">
                  <c:v>-4.0975932863186307E-2</c:v>
                </c:pt>
                <c:pt idx="29">
                  <c:v>-4.0930332621659543E-2</c:v>
                </c:pt>
                <c:pt idx="30">
                  <c:v>-4.0930332621659543E-2</c:v>
                </c:pt>
                <c:pt idx="31">
                  <c:v>-4.0893176869304403E-2</c:v>
                </c:pt>
                <c:pt idx="32">
                  <c:v>-4.0727664881540587E-2</c:v>
                </c:pt>
                <c:pt idx="33">
                  <c:v>-4.0474330206391892E-2</c:v>
                </c:pt>
                <c:pt idx="34">
                  <c:v>-4.0376374132001062E-2</c:v>
                </c:pt>
                <c:pt idx="35">
                  <c:v>-4.0197350961562649E-2</c:v>
                </c:pt>
                <c:pt idx="36">
                  <c:v>-4.0197350961562649E-2</c:v>
                </c:pt>
                <c:pt idx="37">
                  <c:v>-3.9643392471904168E-2</c:v>
                </c:pt>
                <c:pt idx="38">
                  <c:v>-3.9643392471904168E-2</c:v>
                </c:pt>
                <c:pt idx="39">
                  <c:v>-3.9248190378672193E-2</c:v>
                </c:pt>
                <c:pt idx="40">
                  <c:v>-3.8756721108883729E-2</c:v>
                </c:pt>
                <c:pt idx="41">
                  <c:v>-3.8521964309912601E-2</c:v>
                </c:pt>
                <c:pt idx="42">
                  <c:v>-3.8521964309912601E-2</c:v>
                </c:pt>
                <c:pt idx="43">
                  <c:v>-3.7106667924748551E-2</c:v>
                </c:pt>
                <c:pt idx="44">
                  <c:v>-3.4573321173261576E-2</c:v>
                </c:pt>
                <c:pt idx="45">
                  <c:v>-3.3779539191128999E-2</c:v>
                </c:pt>
                <c:pt idx="46">
                  <c:v>-3.2965490434984521E-2</c:v>
                </c:pt>
                <c:pt idx="47">
                  <c:v>-3.2725666942510417E-2</c:v>
                </c:pt>
                <c:pt idx="48">
                  <c:v>-3.2134552700496789E-2</c:v>
                </c:pt>
                <c:pt idx="49">
                  <c:v>-3.1857573455667546E-2</c:v>
                </c:pt>
                <c:pt idx="50">
                  <c:v>-3.1327259535689614E-2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59-4399-9C6D-995310E2FC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40">
                  <c:v>-0.64473699999507517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E59-4399-9C6D-995310E2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46864"/>
        <c:axId val="1"/>
      </c:scatterChart>
      <c:valAx>
        <c:axId val="610546864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04112583196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9453924914675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46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5785833937993"/>
          <c:y val="0.92000129214617399"/>
          <c:w val="0.8208198292619565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V0368 Cas - O-C Diagr.</a:t>
            </a:r>
          </a:p>
        </c:rich>
      </c:tx>
      <c:layout>
        <c:manualLayout>
          <c:xMode val="edge"/>
          <c:yMode val="edge"/>
          <c:x val="0.3622941510505394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862010221465"/>
          <c:y val="0.14723926380368099"/>
          <c:w val="0.8160136286201021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5D-46D7-B877-33A0517FBE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-2.899999999863212E-2</c:v>
                </c:pt>
                <c:pt idx="1">
                  <c:v>-3.0000000006111804E-3</c:v>
                </c:pt>
                <c:pt idx="3">
                  <c:v>3.0999999999039574E-2</c:v>
                </c:pt>
                <c:pt idx="4">
                  <c:v>-2.549400000134483E-2</c:v>
                </c:pt>
                <c:pt idx="5">
                  <c:v>0.10537000000113039</c:v>
                </c:pt>
                <c:pt idx="6">
                  <c:v>-0.17890599999736878</c:v>
                </c:pt>
                <c:pt idx="7">
                  <c:v>-8.0189999996946426E-2</c:v>
                </c:pt>
                <c:pt idx="8">
                  <c:v>0.1282420000025013</c:v>
                </c:pt>
                <c:pt idx="9">
                  <c:v>-4.9931999998079846E-2</c:v>
                </c:pt>
                <c:pt idx="10">
                  <c:v>3.6068000001250766E-2</c:v>
                </c:pt>
                <c:pt idx="11">
                  <c:v>7.3068000001512701E-2</c:v>
                </c:pt>
                <c:pt idx="12">
                  <c:v>-1.0729999998147832E-2</c:v>
                </c:pt>
                <c:pt idx="13">
                  <c:v>8.9860000007320195E-3</c:v>
                </c:pt>
                <c:pt idx="14">
                  <c:v>5.3986000002623769E-2</c:v>
                </c:pt>
                <c:pt idx="15">
                  <c:v>-4.0759999974397942E-3</c:v>
                </c:pt>
                <c:pt idx="16">
                  <c:v>2.0924000000377418E-2</c:v>
                </c:pt>
                <c:pt idx="17">
                  <c:v>6.7924000002676621E-2</c:v>
                </c:pt>
                <c:pt idx="18">
                  <c:v>-7.8089999999065185E-2</c:v>
                </c:pt>
                <c:pt idx="19">
                  <c:v>-5.4955999996309401E-2</c:v>
                </c:pt>
                <c:pt idx="20">
                  <c:v>-6.248799999957555E-2</c:v>
                </c:pt>
                <c:pt idx="21">
                  <c:v>4.8227999999653548E-2</c:v>
                </c:pt>
                <c:pt idx="22">
                  <c:v>2.4708000000828179E-2</c:v>
                </c:pt>
                <c:pt idx="23">
                  <c:v>4.5707999997830484E-2</c:v>
                </c:pt>
                <c:pt idx="24">
                  <c:v>-4.5444000003044493E-2</c:v>
                </c:pt>
                <c:pt idx="25">
                  <c:v>6.6271999996388331E-2</c:v>
                </c:pt>
                <c:pt idx="26">
                  <c:v>-0.16620200000033947</c:v>
                </c:pt>
                <c:pt idx="27">
                  <c:v>-0.11046600000554463</c:v>
                </c:pt>
                <c:pt idx="32">
                  <c:v>-3.0630000001110602E-2</c:v>
                </c:pt>
                <c:pt idx="33">
                  <c:v>-1.0780000004160684E-2</c:v>
                </c:pt>
                <c:pt idx="34">
                  <c:v>-9.8398000001907349E-2</c:v>
                </c:pt>
                <c:pt idx="39">
                  <c:v>5.3174000000581145E-2</c:v>
                </c:pt>
                <c:pt idx="41">
                  <c:v>-4.0855999999621417E-2</c:v>
                </c:pt>
                <c:pt idx="42">
                  <c:v>-3.7855999995372258E-2</c:v>
                </c:pt>
                <c:pt idx="43">
                  <c:v>-3.2853999997314531E-2</c:v>
                </c:pt>
                <c:pt idx="49">
                  <c:v>-2.7521999996679369E-2</c:v>
                </c:pt>
                <c:pt idx="50">
                  <c:v>-3.1315999993239529E-2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5D-46D7-B877-33A0517FBE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8">
                  <c:v>-4.4243000003916677E-2</c:v>
                </c:pt>
                <c:pt idx="29">
                  <c:v>-4.4410000002244487E-2</c:v>
                </c:pt>
                <c:pt idx="30">
                  <c:v>-4.4210000000020955E-2</c:v>
                </c:pt>
                <c:pt idx="31">
                  <c:v>-4.4271999999182299E-2</c:v>
                </c:pt>
                <c:pt idx="35">
                  <c:v>-6.4323999999032822E-2</c:v>
                </c:pt>
                <c:pt idx="36">
                  <c:v>-6.3624000002164394E-2</c:v>
                </c:pt>
                <c:pt idx="37">
                  <c:v>-5.0611999999091495E-2</c:v>
                </c:pt>
                <c:pt idx="38">
                  <c:v>-3.4612000003107823E-2</c:v>
                </c:pt>
                <c:pt idx="44">
                  <c:v>-3.5353999999642838E-2</c:v>
                </c:pt>
                <c:pt idx="45">
                  <c:v>-3.991400000086287E-2</c:v>
                </c:pt>
                <c:pt idx="48">
                  <c:v>-3.5477999997965526E-2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5D-46D7-B877-33A0517FBE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46">
                  <c:v>-2.9845999997633044E-2</c:v>
                </c:pt>
                <c:pt idx="47">
                  <c:v>-3.2517999999981839E-2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5D-46D7-B877-33A0517FBE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5D-46D7-B877-33A0517FBE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5D-46D7-B877-33A0517FBE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39">
                    <c:v>0</c:v>
                  </c:pt>
                  <c:pt idx="40">
                    <c:v>3.0000000000000001E-3</c:v>
                  </c:pt>
                  <c:pt idx="44">
                    <c:v>8.0000000000000002E-3</c:v>
                  </c:pt>
                  <c:pt idx="45">
                    <c:v>2.9999999999999997E-4</c:v>
                  </c:pt>
                  <c:pt idx="46">
                    <c:v>0</c:v>
                  </c:pt>
                  <c:pt idx="47">
                    <c:v>1.6199999999999999E-3</c:v>
                  </c:pt>
                  <c:pt idx="48">
                    <c:v>1.52E-2</c:v>
                  </c:pt>
                  <c:pt idx="49">
                    <c:v>8.0000000000000002E-3</c:v>
                  </c:pt>
                  <c:pt idx="5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5D-46D7-B877-33A0517FBE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-5.5978412325492138E-2</c:v>
                </c:pt>
                <c:pt idx="1">
                  <c:v>-5.5978412325492138E-2</c:v>
                </c:pt>
                <c:pt idx="2">
                  <c:v>-5.5978412325492138E-2</c:v>
                </c:pt>
                <c:pt idx="3">
                  <c:v>-5.5978412325492138E-2</c:v>
                </c:pt>
                <c:pt idx="4">
                  <c:v>-5.5954767755811596E-2</c:v>
                </c:pt>
                <c:pt idx="5">
                  <c:v>-5.5927745390462399E-2</c:v>
                </c:pt>
                <c:pt idx="6">
                  <c:v>-5.5326497761442828E-2</c:v>
                </c:pt>
                <c:pt idx="7">
                  <c:v>-5.5319742170105525E-2</c:v>
                </c:pt>
                <c:pt idx="8">
                  <c:v>-5.5306230987430927E-2</c:v>
                </c:pt>
                <c:pt idx="9">
                  <c:v>-5.5147474591004414E-2</c:v>
                </c:pt>
                <c:pt idx="10">
                  <c:v>-5.5147474591004414E-2</c:v>
                </c:pt>
                <c:pt idx="11">
                  <c:v>-5.5147474591004414E-2</c:v>
                </c:pt>
                <c:pt idx="12">
                  <c:v>-5.406995777270529E-2</c:v>
                </c:pt>
                <c:pt idx="13">
                  <c:v>-5.4063202181367988E-2</c:v>
                </c:pt>
                <c:pt idx="14">
                  <c:v>-5.4063202181367988E-2</c:v>
                </c:pt>
                <c:pt idx="15">
                  <c:v>-5.4026046429012847E-2</c:v>
                </c:pt>
                <c:pt idx="16">
                  <c:v>-5.4026046429012847E-2</c:v>
                </c:pt>
                <c:pt idx="17">
                  <c:v>-5.4026046429012847E-2</c:v>
                </c:pt>
                <c:pt idx="18">
                  <c:v>-5.3799734119213342E-2</c:v>
                </c:pt>
                <c:pt idx="19">
                  <c:v>-5.355315503540195E-2</c:v>
                </c:pt>
                <c:pt idx="20">
                  <c:v>-5.3397776434644079E-2</c:v>
                </c:pt>
                <c:pt idx="21">
                  <c:v>-5.3391020843306783E-2</c:v>
                </c:pt>
                <c:pt idx="22">
                  <c:v>-5.3188353103187827E-2</c:v>
                </c:pt>
                <c:pt idx="23">
                  <c:v>-5.3188353103187827E-2</c:v>
                </c:pt>
                <c:pt idx="24">
                  <c:v>-4.7594723475904599E-2</c:v>
                </c:pt>
                <c:pt idx="25">
                  <c:v>-4.7587967884567296E-2</c:v>
                </c:pt>
                <c:pt idx="26">
                  <c:v>-4.185584863486945E-2</c:v>
                </c:pt>
                <c:pt idx="27">
                  <c:v>-4.1207311866488787E-2</c:v>
                </c:pt>
                <c:pt idx="28">
                  <c:v>-4.0975932863186307E-2</c:v>
                </c:pt>
                <c:pt idx="29">
                  <c:v>-4.0930332621659543E-2</c:v>
                </c:pt>
                <c:pt idx="30">
                  <c:v>-4.0930332621659543E-2</c:v>
                </c:pt>
                <c:pt idx="31">
                  <c:v>-4.0893176869304403E-2</c:v>
                </c:pt>
                <c:pt idx="32">
                  <c:v>-4.0727664881540587E-2</c:v>
                </c:pt>
                <c:pt idx="33">
                  <c:v>-4.0474330206391892E-2</c:v>
                </c:pt>
                <c:pt idx="34">
                  <c:v>-4.0376374132001062E-2</c:v>
                </c:pt>
                <c:pt idx="35">
                  <c:v>-4.0197350961562649E-2</c:v>
                </c:pt>
                <c:pt idx="36">
                  <c:v>-4.0197350961562649E-2</c:v>
                </c:pt>
                <c:pt idx="37">
                  <c:v>-3.9643392471904168E-2</c:v>
                </c:pt>
                <c:pt idx="38">
                  <c:v>-3.9643392471904168E-2</c:v>
                </c:pt>
                <c:pt idx="39">
                  <c:v>-3.9248190378672193E-2</c:v>
                </c:pt>
                <c:pt idx="40">
                  <c:v>-3.8756721108883729E-2</c:v>
                </c:pt>
                <c:pt idx="41">
                  <c:v>-3.8521964309912601E-2</c:v>
                </c:pt>
                <c:pt idx="42">
                  <c:v>-3.8521964309912601E-2</c:v>
                </c:pt>
                <c:pt idx="43">
                  <c:v>-3.7106667924748551E-2</c:v>
                </c:pt>
                <c:pt idx="44">
                  <c:v>-3.4573321173261576E-2</c:v>
                </c:pt>
                <c:pt idx="45">
                  <c:v>-3.3779539191128999E-2</c:v>
                </c:pt>
                <c:pt idx="46">
                  <c:v>-3.2965490434984521E-2</c:v>
                </c:pt>
                <c:pt idx="47">
                  <c:v>-3.2725666942510417E-2</c:v>
                </c:pt>
                <c:pt idx="48">
                  <c:v>-3.2134552700496789E-2</c:v>
                </c:pt>
                <c:pt idx="49">
                  <c:v>-3.1857573455667546E-2</c:v>
                </c:pt>
                <c:pt idx="50">
                  <c:v>-3.1327259535689614E-2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5D-46D7-B877-33A0517FBE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15</c:v>
                </c:pt>
                <c:pt idx="6">
                  <c:v>193</c:v>
                </c:pt>
                <c:pt idx="7">
                  <c:v>195</c:v>
                </c:pt>
                <c:pt idx="8">
                  <c:v>199</c:v>
                </c:pt>
                <c:pt idx="9">
                  <c:v>246</c:v>
                </c:pt>
                <c:pt idx="10">
                  <c:v>246</c:v>
                </c:pt>
                <c:pt idx="11">
                  <c:v>246</c:v>
                </c:pt>
                <c:pt idx="12">
                  <c:v>565</c:v>
                </c:pt>
                <c:pt idx="13">
                  <c:v>567</c:v>
                </c:pt>
                <c:pt idx="14">
                  <c:v>567</c:v>
                </c:pt>
                <c:pt idx="15">
                  <c:v>578</c:v>
                </c:pt>
                <c:pt idx="16">
                  <c:v>578</c:v>
                </c:pt>
                <c:pt idx="17">
                  <c:v>578</c:v>
                </c:pt>
                <c:pt idx="18">
                  <c:v>645</c:v>
                </c:pt>
                <c:pt idx="19">
                  <c:v>718</c:v>
                </c:pt>
                <c:pt idx="20">
                  <c:v>764</c:v>
                </c:pt>
                <c:pt idx="21">
                  <c:v>766</c:v>
                </c:pt>
                <c:pt idx="22">
                  <c:v>826</c:v>
                </c:pt>
                <c:pt idx="23">
                  <c:v>826</c:v>
                </c:pt>
                <c:pt idx="24">
                  <c:v>2482</c:v>
                </c:pt>
                <c:pt idx="25">
                  <c:v>2484</c:v>
                </c:pt>
                <c:pt idx="26">
                  <c:v>4181</c:v>
                </c:pt>
                <c:pt idx="27">
                  <c:v>4373</c:v>
                </c:pt>
                <c:pt idx="28">
                  <c:v>4441.5</c:v>
                </c:pt>
                <c:pt idx="29">
                  <c:v>4455</c:v>
                </c:pt>
                <c:pt idx="30">
                  <c:v>4455</c:v>
                </c:pt>
                <c:pt idx="31">
                  <c:v>4466</c:v>
                </c:pt>
                <c:pt idx="32">
                  <c:v>4515</c:v>
                </c:pt>
                <c:pt idx="33">
                  <c:v>4590</c:v>
                </c:pt>
                <c:pt idx="34">
                  <c:v>4619</c:v>
                </c:pt>
                <c:pt idx="35">
                  <c:v>4672</c:v>
                </c:pt>
                <c:pt idx="36">
                  <c:v>4672</c:v>
                </c:pt>
                <c:pt idx="37">
                  <c:v>4836</c:v>
                </c:pt>
                <c:pt idx="38">
                  <c:v>4836</c:v>
                </c:pt>
                <c:pt idx="39">
                  <c:v>4953</c:v>
                </c:pt>
                <c:pt idx="40">
                  <c:v>5098.5</c:v>
                </c:pt>
                <c:pt idx="41">
                  <c:v>5168</c:v>
                </c:pt>
                <c:pt idx="42">
                  <c:v>5168</c:v>
                </c:pt>
                <c:pt idx="43">
                  <c:v>5587</c:v>
                </c:pt>
                <c:pt idx="44">
                  <c:v>6337</c:v>
                </c:pt>
                <c:pt idx="45">
                  <c:v>6572</c:v>
                </c:pt>
                <c:pt idx="46">
                  <c:v>6813</c:v>
                </c:pt>
                <c:pt idx="47">
                  <c:v>6884</c:v>
                </c:pt>
                <c:pt idx="48">
                  <c:v>7059</c:v>
                </c:pt>
                <c:pt idx="49">
                  <c:v>7141</c:v>
                </c:pt>
                <c:pt idx="50">
                  <c:v>7298</c:v>
                </c:pt>
              </c:numCache>
            </c:numRef>
          </c:xVal>
          <c:yVal>
            <c:numRef>
              <c:f>Active!$U$21:$U$986</c:f>
              <c:numCache>
                <c:formatCode>General</c:formatCode>
                <c:ptCount val="966"/>
                <c:pt idx="40">
                  <c:v>-0.64473699999507517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5D-46D7-B877-33A0517F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552264"/>
        <c:axId val="1"/>
      </c:scatterChart>
      <c:valAx>
        <c:axId val="6105522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2947189097103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0732538330493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552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396933560477"/>
          <c:y val="0.92024539877300615"/>
          <c:w val="0.819420783645655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19050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E1A2F68-B41F-48B5-C586-0CC5508FE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323850</xdr:colOff>
      <xdr:row>0</xdr:row>
      <xdr:rowOff>0</xdr:rowOff>
    </xdr:from>
    <xdr:to>
      <xdr:col>24</xdr:col>
      <xdr:colOff>542925</xdr:colOff>
      <xdr:row>18</xdr:row>
      <xdr:rowOff>28575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863321F-C0CF-C75C-BB14-88B79BA0C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0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2944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bav-astro.de/sfs/BAVM_link.php?BAVMnr=34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2944" TargetMode="External"/><Relationship Id="rId15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60" TargetMode="External"/><Relationship Id="rId4" Type="http://schemas.openxmlformats.org/officeDocument/2006/relationships/hyperlink" Target="http://www.konkoly.hu/cgi-bin/IBVS?2944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tabSelected="1" workbookViewId="0">
      <pane xSplit="14" ySplit="22" topLeftCell="O5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63" t="s">
        <v>256</v>
      </c>
    </row>
    <row r="2" spans="1:6" x14ac:dyDescent="0.2">
      <c r="A2" t="s">
        <v>26</v>
      </c>
      <c r="B2" t="s">
        <v>54</v>
      </c>
    </row>
    <row r="4" spans="1:6" ht="14.25" thickTop="1" thickBot="1" x14ac:dyDescent="0.25">
      <c r="A4" s="4" t="s">
        <v>2</v>
      </c>
      <c r="C4" s="1">
        <v>25554.32</v>
      </c>
      <c r="D4" s="2">
        <v>4.4516419999999997</v>
      </c>
    </row>
    <row r="5" spans="1:6" ht="13.5" thickTop="1" x14ac:dyDescent="0.2">
      <c r="A5" s="8" t="s">
        <v>56</v>
      </c>
      <c r="B5" s="7"/>
      <c r="C5" s="9">
        <v>-9.5</v>
      </c>
      <c r="D5" s="7" t="s">
        <v>57</v>
      </c>
    </row>
    <row r="6" spans="1:6" x14ac:dyDescent="0.2">
      <c r="A6" s="4" t="s">
        <v>3</v>
      </c>
    </row>
    <row r="7" spans="1:6" x14ac:dyDescent="0.2">
      <c r="A7" t="s">
        <v>4</v>
      </c>
      <c r="C7">
        <f>+C4</f>
        <v>25554.32</v>
      </c>
    </row>
    <row r="8" spans="1:6" x14ac:dyDescent="0.2">
      <c r="A8" t="s">
        <v>5</v>
      </c>
      <c r="C8">
        <f>+D4</f>
        <v>4.4516419999999997</v>
      </c>
    </row>
    <row r="9" spans="1:6" x14ac:dyDescent="0.2">
      <c r="A9" s="23" t="s">
        <v>61</v>
      </c>
      <c r="B9" s="24">
        <v>61</v>
      </c>
      <c r="C9" s="12" t="str">
        <f>"F"&amp;B9</f>
        <v>F61</v>
      </c>
      <c r="D9" s="13" t="str">
        <f>"G"&amp;B9</f>
        <v>G61</v>
      </c>
    </row>
    <row r="10" spans="1:6" ht="13.5" thickBot="1" x14ac:dyDescent="0.25">
      <c r="A10" s="7"/>
      <c r="B10" s="7"/>
      <c r="C10" s="3" t="s">
        <v>22</v>
      </c>
      <c r="D10" s="3" t="s">
        <v>23</v>
      </c>
      <c r="E10" s="7"/>
    </row>
    <row r="11" spans="1:6" x14ac:dyDescent="0.2">
      <c r="A11" s="7" t="s">
        <v>18</v>
      </c>
      <c r="B11" s="7"/>
      <c r="C11" s="10">
        <f ca="1">INTERCEPT(INDIRECT($D$9):G989,INDIRECT($C$9):F989)</f>
        <v>-5.5978412325492138E-2</v>
      </c>
      <c r="D11" s="11"/>
      <c r="E11" s="7"/>
    </row>
    <row r="12" spans="1:6" x14ac:dyDescent="0.2">
      <c r="A12" s="7" t="s">
        <v>19</v>
      </c>
      <c r="B12" s="7"/>
      <c r="C12" s="10">
        <f ca="1">SLOPE(INDIRECT($D$9):G989,INDIRECT($C$9):F989)</f>
        <v>3.3777956686492915E-6</v>
      </c>
      <c r="D12" s="11"/>
      <c r="E12" s="7"/>
    </row>
    <row r="13" spans="1:6" x14ac:dyDescent="0.2">
      <c r="A13" s="7" t="s">
        <v>21</v>
      </c>
      <c r="B13" s="7"/>
      <c r="C13" s="11" t="s">
        <v>16</v>
      </c>
    </row>
    <row r="14" spans="1:6" x14ac:dyDescent="0.2">
      <c r="A14" s="7"/>
      <c r="B14" s="7"/>
      <c r="C14" s="7"/>
    </row>
    <row r="15" spans="1:6" x14ac:dyDescent="0.2">
      <c r="A15" s="14" t="s">
        <v>20</v>
      </c>
      <c r="B15" s="7"/>
      <c r="C15" s="15">
        <f ca="1">(C7+C11)+(C8+C12)*INT(MAX(F21:F3530))</f>
        <v>58042.371988740459</v>
      </c>
      <c r="E15" s="16" t="s">
        <v>63</v>
      </c>
      <c r="F15" s="9">
        <v>1</v>
      </c>
    </row>
    <row r="16" spans="1:6" x14ac:dyDescent="0.2">
      <c r="A16" s="18" t="s">
        <v>6</v>
      </c>
      <c r="B16" s="7"/>
      <c r="C16" s="19">
        <f ca="1">+C8+C12</f>
        <v>4.4516453777956686</v>
      </c>
      <c r="E16" s="16" t="s">
        <v>58</v>
      </c>
      <c r="F16" s="17">
        <f ca="1">NOW()+15018.5+$C$5/24</f>
        <v>60328.796756365737</v>
      </c>
    </row>
    <row r="17" spans="1:21" ht="13.5" thickBot="1" x14ac:dyDescent="0.25">
      <c r="A17" s="16" t="s">
        <v>53</v>
      </c>
      <c r="B17" s="7"/>
      <c r="C17" s="7">
        <f>COUNT(C21:C2188)</f>
        <v>51</v>
      </c>
      <c r="E17" s="16" t="s">
        <v>64</v>
      </c>
      <c r="F17" s="17">
        <f ca="1">ROUND(2*(F16-$C$7)/$C$8,0)/2+F15</f>
        <v>7812.5</v>
      </c>
    </row>
    <row r="18" spans="1:21" ht="14.25" thickTop="1" thickBot="1" x14ac:dyDescent="0.25">
      <c r="A18" s="18" t="s">
        <v>7</v>
      </c>
      <c r="B18" s="7"/>
      <c r="C18" s="21">
        <f ca="1">+C15</f>
        <v>58042.371988740459</v>
      </c>
      <c r="D18" s="22">
        <f ca="1">+C16</f>
        <v>4.4516453777956686</v>
      </c>
      <c r="E18" s="16" t="s">
        <v>59</v>
      </c>
      <c r="F18" s="13">
        <f ca="1">ROUND(2*(F16-$C$15)/$C$16,0)/2+F15</f>
        <v>514.5</v>
      </c>
    </row>
    <row r="19" spans="1:21" ht="13.5" thickTop="1" x14ac:dyDescent="0.2">
      <c r="E19" s="16" t="s">
        <v>60</v>
      </c>
      <c r="F19" s="20">
        <f ca="1">+$C$15+$C$16*F18-15018.5-$C$5/24</f>
        <v>45314.639368949669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37</v>
      </c>
      <c r="I20" s="6" t="s">
        <v>77</v>
      </c>
      <c r="J20" s="6" t="s">
        <v>73</v>
      </c>
      <c r="K20" s="6" t="s">
        <v>71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R20" s="3"/>
      <c r="S20" s="3"/>
      <c r="T20" s="3"/>
      <c r="U20" s="34" t="s">
        <v>65</v>
      </c>
    </row>
    <row r="21" spans="1:21" x14ac:dyDescent="0.2">
      <c r="A21" s="54" t="s">
        <v>85</v>
      </c>
      <c r="B21" s="55" t="s">
        <v>52</v>
      </c>
      <c r="C21" s="54">
        <v>25554.291000000001</v>
      </c>
      <c r="D21" s="54" t="s">
        <v>77</v>
      </c>
      <c r="E21" s="25">
        <f t="shared" ref="E21:E52" si="0">+(C21-C$7)/C$8</f>
        <v>-6.5144501733589814E-3</v>
      </c>
      <c r="F21" s="25">
        <f t="shared" ref="F21:F52" si="1">ROUND(2*E21,0)/2</f>
        <v>0</v>
      </c>
      <c r="G21" s="25">
        <f t="shared" ref="G21:G60" si="2">+C21-(C$7+F21*C$8)</f>
        <v>-2.899999999863212E-2</v>
      </c>
      <c r="H21" s="25"/>
      <c r="I21" s="25">
        <f>+G21</f>
        <v>-2.899999999863212E-2</v>
      </c>
      <c r="J21" s="25"/>
      <c r="L21" s="25"/>
      <c r="M21" s="25"/>
      <c r="N21" s="25"/>
      <c r="O21" s="25">
        <f t="shared" ref="O21:O52" ca="1" si="3">+C$11+C$12*F21</f>
        <v>-5.5978412325492138E-2</v>
      </c>
      <c r="P21" s="25"/>
      <c r="Q21" s="26">
        <f t="shared" ref="Q21:Q52" si="4">+C21-15018.5</f>
        <v>10535.791000000001</v>
      </c>
      <c r="R21" s="26"/>
      <c r="S21" s="26"/>
      <c r="T21" s="26"/>
      <c r="U21" s="25"/>
    </row>
    <row r="22" spans="1:21" x14ac:dyDescent="0.2">
      <c r="A22" s="54" t="s">
        <v>85</v>
      </c>
      <c r="B22" s="55" t="s">
        <v>52</v>
      </c>
      <c r="C22" s="54">
        <v>25554.316999999999</v>
      </c>
      <c r="D22" s="54" t="s">
        <v>77</v>
      </c>
      <c r="E22" s="25">
        <f t="shared" si="0"/>
        <v>-6.7390863879242323E-4</v>
      </c>
      <c r="F22" s="25">
        <f t="shared" si="1"/>
        <v>0</v>
      </c>
      <c r="G22" s="25">
        <f t="shared" si="2"/>
        <v>-3.0000000006111804E-3</v>
      </c>
      <c r="H22" s="25"/>
      <c r="I22" s="25">
        <f>+G22</f>
        <v>-3.0000000006111804E-3</v>
      </c>
      <c r="J22" s="25"/>
      <c r="L22" s="25"/>
      <c r="M22" s="25"/>
      <c r="N22" s="25"/>
      <c r="O22" s="25">
        <f t="shared" ca="1" si="3"/>
        <v>-5.5978412325492138E-2</v>
      </c>
      <c r="P22" s="25"/>
      <c r="Q22" s="26">
        <f t="shared" si="4"/>
        <v>10535.816999999999</v>
      </c>
      <c r="R22" s="26"/>
      <c r="S22" s="26"/>
      <c r="T22" s="26"/>
    </row>
    <row r="23" spans="1:21" x14ac:dyDescent="0.2">
      <c r="A23" s="25" t="s">
        <v>14</v>
      </c>
      <c r="B23" s="25"/>
      <c r="C23" s="28">
        <v>25554.32</v>
      </c>
      <c r="D23" s="28" t="s">
        <v>16</v>
      </c>
      <c r="E23" s="25">
        <f t="shared" si="0"/>
        <v>0</v>
      </c>
      <c r="F23" s="25">
        <f t="shared" si="1"/>
        <v>0</v>
      </c>
      <c r="G23" s="25">
        <f t="shared" si="2"/>
        <v>0</v>
      </c>
      <c r="H23" s="25">
        <f>+G23</f>
        <v>0</v>
      </c>
      <c r="I23" s="25"/>
      <c r="J23" s="25"/>
      <c r="K23" s="25"/>
      <c r="L23" s="25"/>
      <c r="M23" s="25"/>
      <c r="N23" s="25"/>
      <c r="O23" s="25">
        <f t="shared" ca="1" si="3"/>
        <v>-5.5978412325492138E-2</v>
      </c>
      <c r="P23" s="25"/>
      <c r="Q23" s="26">
        <f t="shared" si="4"/>
        <v>10535.82</v>
      </c>
      <c r="R23" s="26"/>
      <c r="S23" s="26"/>
      <c r="T23" s="26"/>
      <c r="U23" s="25"/>
    </row>
    <row r="24" spans="1:21" x14ac:dyDescent="0.2">
      <c r="A24" s="54" t="s">
        <v>85</v>
      </c>
      <c r="B24" s="55" t="s">
        <v>52</v>
      </c>
      <c r="C24" s="54">
        <v>25554.350999999999</v>
      </c>
      <c r="D24" s="54" t="s">
        <v>77</v>
      </c>
      <c r="E24" s="25">
        <f t="shared" si="0"/>
        <v>6.9637225992205971E-3</v>
      </c>
      <c r="F24" s="25">
        <f t="shared" si="1"/>
        <v>0</v>
      </c>
      <c r="G24" s="25">
        <f t="shared" si="2"/>
        <v>3.0999999999039574E-2</v>
      </c>
      <c r="H24" s="25"/>
      <c r="I24" s="25">
        <f t="shared" ref="I24:I48" si="5">+G24</f>
        <v>3.0999999999039574E-2</v>
      </c>
      <c r="J24" s="25"/>
      <c r="L24" s="25"/>
      <c r="M24" s="25"/>
      <c r="N24" s="25"/>
      <c r="O24" s="25">
        <f t="shared" ca="1" si="3"/>
        <v>-5.5978412325492138E-2</v>
      </c>
      <c r="P24" s="25"/>
      <c r="Q24" s="26">
        <f t="shared" si="4"/>
        <v>10535.850999999999</v>
      </c>
      <c r="R24" s="26"/>
      <c r="S24" s="26"/>
      <c r="T24" s="26"/>
    </row>
    <row r="25" spans="1:21" x14ac:dyDescent="0.2">
      <c r="A25" s="54" t="s">
        <v>85</v>
      </c>
      <c r="B25" s="55" t="s">
        <v>52</v>
      </c>
      <c r="C25" s="54">
        <v>25585.455999999998</v>
      </c>
      <c r="D25" s="54" t="s">
        <v>77</v>
      </c>
      <c r="E25" s="25">
        <f t="shared" si="0"/>
        <v>6.9942731243883953</v>
      </c>
      <c r="F25" s="25">
        <f t="shared" si="1"/>
        <v>7</v>
      </c>
      <c r="G25" s="25">
        <f t="shared" si="2"/>
        <v>-2.549400000134483E-2</v>
      </c>
      <c r="H25" s="25"/>
      <c r="I25" s="25">
        <f t="shared" si="5"/>
        <v>-2.549400000134483E-2</v>
      </c>
      <c r="J25" s="25"/>
      <c r="L25" s="25"/>
      <c r="M25" s="25"/>
      <c r="N25" s="25"/>
      <c r="O25" s="25">
        <f t="shared" ca="1" si="3"/>
        <v>-5.5954767755811596E-2</v>
      </c>
      <c r="P25" s="25"/>
      <c r="Q25" s="26">
        <f t="shared" si="4"/>
        <v>10566.955999999998</v>
      </c>
      <c r="R25" s="26"/>
      <c r="S25" s="26"/>
      <c r="T25" s="26"/>
    </row>
    <row r="26" spans="1:21" x14ac:dyDescent="0.2">
      <c r="A26" s="54" t="s">
        <v>85</v>
      </c>
      <c r="B26" s="55" t="s">
        <v>52</v>
      </c>
      <c r="C26" s="54">
        <v>25621.200000000001</v>
      </c>
      <c r="D26" s="54" t="s">
        <v>77</v>
      </c>
      <c r="E26" s="25">
        <f t="shared" si="0"/>
        <v>15.023669917751928</v>
      </c>
      <c r="F26" s="25">
        <f t="shared" si="1"/>
        <v>15</v>
      </c>
      <c r="G26" s="25">
        <f t="shared" si="2"/>
        <v>0.10537000000113039</v>
      </c>
      <c r="H26" s="25"/>
      <c r="I26" s="25">
        <f t="shared" si="5"/>
        <v>0.10537000000113039</v>
      </c>
      <c r="J26" s="25"/>
      <c r="L26" s="25"/>
      <c r="M26" s="25"/>
      <c r="N26" s="25"/>
      <c r="O26" s="25">
        <f t="shared" ca="1" si="3"/>
        <v>-5.5927745390462399E-2</v>
      </c>
      <c r="P26" s="25"/>
      <c r="Q26" s="26">
        <f t="shared" si="4"/>
        <v>10602.7</v>
      </c>
      <c r="R26" s="26"/>
      <c r="S26" s="26"/>
      <c r="T26" s="26"/>
    </row>
    <row r="27" spans="1:21" x14ac:dyDescent="0.2">
      <c r="A27" s="54" t="s">
        <v>85</v>
      </c>
      <c r="B27" s="55" t="s">
        <v>52</v>
      </c>
      <c r="C27" s="54">
        <v>26413.308000000001</v>
      </c>
      <c r="D27" s="54" t="s">
        <v>77</v>
      </c>
      <c r="E27" s="25">
        <f t="shared" si="0"/>
        <v>192.95981123369788</v>
      </c>
      <c r="F27" s="25">
        <f t="shared" si="1"/>
        <v>193</v>
      </c>
      <c r="G27" s="25">
        <f t="shared" si="2"/>
        <v>-0.17890599999736878</v>
      </c>
      <c r="H27" s="25"/>
      <c r="I27" s="25">
        <f t="shared" si="5"/>
        <v>-0.17890599999736878</v>
      </c>
      <c r="J27" s="25"/>
      <c r="L27" s="25"/>
      <c r="M27" s="25"/>
      <c r="N27" s="25"/>
      <c r="O27" s="25">
        <f t="shared" ca="1" si="3"/>
        <v>-5.5326497761442828E-2</v>
      </c>
      <c r="P27" s="25"/>
      <c r="Q27" s="26">
        <f t="shared" si="4"/>
        <v>11394.808000000001</v>
      </c>
      <c r="R27" s="26"/>
      <c r="S27" s="26"/>
      <c r="T27" s="26"/>
    </row>
    <row r="28" spans="1:21" x14ac:dyDescent="0.2">
      <c r="A28" s="54" t="s">
        <v>85</v>
      </c>
      <c r="B28" s="55" t="s">
        <v>52</v>
      </c>
      <c r="C28" s="54">
        <v>26422.31</v>
      </c>
      <c r="D28" s="54" t="s">
        <v>77</v>
      </c>
      <c r="E28" s="25">
        <f t="shared" si="0"/>
        <v>194.98198642208914</v>
      </c>
      <c r="F28" s="25">
        <f t="shared" si="1"/>
        <v>195</v>
      </c>
      <c r="G28" s="25">
        <f t="shared" si="2"/>
        <v>-8.0189999996946426E-2</v>
      </c>
      <c r="H28" s="25"/>
      <c r="I28" s="25">
        <f t="shared" si="5"/>
        <v>-8.0189999996946426E-2</v>
      </c>
      <c r="J28" s="25"/>
      <c r="L28" s="25"/>
      <c r="M28" s="25"/>
      <c r="N28" s="25"/>
      <c r="O28" s="25">
        <f t="shared" ca="1" si="3"/>
        <v>-5.5319742170105525E-2</v>
      </c>
      <c r="P28" s="25"/>
      <c r="Q28" s="26">
        <f t="shared" si="4"/>
        <v>11403.810000000001</v>
      </c>
      <c r="R28" s="26"/>
      <c r="S28" s="26"/>
      <c r="T28" s="26"/>
    </row>
    <row r="29" spans="1:21" x14ac:dyDescent="0.2">
      <c r="A29" s="54" t="s">
        <v>85</v>
      </c>
      <c r="B29" s="55" t="s">
        <v>52</v>
      </c>
      <c r="C29" s="54">
        <v>26440.325000000001</v>
      </c>
      <c r="D29" s="54" t="s">
        <v>77</v>
      </c>
      <c r="E29" s="25">
        <f t="shared" si="0"/>
        <v>199.02880779721303</v>
      </c>
      <c r="F29" s="25">
        <f t="shared" si="1"/>
        <v>199</v>
      </c>
      <c r="G29" s="25">
        <f t="shared" si="2"/>
        <v>0.1282420000025013</v>
      </c>
      <c r="H29" s="25"/>
      <c r="I29" s="25">
        <f t="shared" si="5"/>
        <v>0.1282420000025013</v>
      </c>
      <c r="J29" s="25"/>
      <c r="L29" s="25"/>
      <c r="M29" s="25"/>
      <c r="N29" s="25"/>
      <c r="O29" s="25">
        <f t="shared" ca="1" si="3"/>
        <v>-5.5306230987430927E-2</v>
      </c>
      <c r="P29" s="25"/>
      <c r="Q29" s="26">
        <f t="shared" si="4"/>
        <v>11421.825000000001</v>
      </c>
      <c r="R29" s="26"/>
      <c r="S29" s="26"/>
      <c r="T29" s="26"/>
    </row>
    <row r="30" spans="1:21" x14ac:dyDescent="0.2">
      <c r="A30" s="54" t="s">
        <v>85</v>
      </c>
      <c r="B30" s="55" t="s">
        <v>52</v>
      </c>
      <c r="C30" s="54">
        <v>26649.374</v>
      </c>
      <c r="D30" s="54" t="s">
        <v>77</v>
      </c>
      <c r="E30" s="25">
        <f t="shared" si="0"/>
        <v>245.98878346461825</v>
      </c>
      <c r="F30" s="25">
        <f t="shared" si="1"/>
        <v>246</v>
      </c>
      <c r="G30" s="25">
        <f t="shared" si="2"/>
        <v>-4.9931999998079846E-2</v>
      </c>
      <c r="H30" s="25"/>
      <c r="I30" s="25">
        <f t="shared" si="5"/>
        <v>-4.9931999998079846E-2</v>
      </c>
      <c r="J30" s="25"/>
      <c r="L30" s="25"/>
      <c r="M30" s="25"/>
      <c r="N30" s="25"/>
      <c r="O30" s="25">
        <f t="shared" ca="1" si="3"/>
        <v>-5.5147474591004414E-2</v>
      </c>
      <c r="P30" s="25"/>
      <c r="Q30" s="26">
        <f t="shared" si="4"/>
        <v>11630.874</v>
      </c>
      <c r="R30" s="26"/>
      <c r="S30" s="26"/>
      <c r="T30" s="26"/>
    </row>
    <row r="31" spans="1:21" x14ac:dyDescent="0.2">
      <c r="A31" s="54" t="s">
        <v>85</v>
      </c>
      <c r="B31" s="55" t="s">
        <v>52</v>
      </c>
      <c r="C31" s="54">
        <v>26649.46</v>
      </c>
      <c r="D31" s="54" t="s">
        <v>77</v>
      </c>
      <c r="E31" s="25">
        <f t="shared" si="0"/>
        <v>246.00810217892624</v>
      </c>
      <c r="F31" s="25">
        <f t="shared" si="1"/>
        <v>246</v>
      </c>
      <c r="G31" s="25">
        <f t="shared" si="2"/>
        <v>3.6068000001250766E-2</v>
      </c>
      <c r="H31" s="25"/>
      <c r="I31" s="25">
        <f t="shared" si="5"/>
        <v>3.6068000001250766E-2</v>
      </c>
      <c r="J31" s="25"/>
      <c r="L31" s="25"/>
      <c r="M31" s="25"/>
      <c r="N31" s="25"/>
      <c r="O31" s="25">
        <f t="shared" ca="1" si="3"/>
        <v>-5.5147474591004414E-2</v>
      </c>
      <c r="P31" s="25"/>
      <c r="Q31" s="26">
        <f t="shared" si="4"/>
        <v>11630.96</v>
      </c>
      <c r="R31" s="26"/>
      <c r="S31" s="26"/>
      <c r="T31" s="26"/>
    </row>
    <row r="32" spans="1:21" x14ac:dyDescent="0.2">
      <c r="A32" s="54" t="s">
        <v>85</v>
      </c>
      <c r="B32" s="55" t="s">
        <v>52</v>
      </c>
      <c r="C32" s="54">
        <v>26649.496999999999</v>
      </c>
      <c r="D32" s="54" t="s">
        <v>77</v>
      </c>
      <c r="E32" s="25">
        <f t="shared" si="0"/>
        <v>246.01641371880302</v>
      </c>
      <c r="F32" s="25">
        <f t="shared" si="1"/>
        <v>246</v>
      </c>
      <c r="G32" s="25">
        <f t="shared" si="2"/>
        <v>7.3068000001512701E-2</v>
      </c>
      <c r="H32" s="25"/>
      <c r="I32" s="25">
        <f t="shared" si="5"/>
        <v>7.3068000001512701E-2</v>
      </c>
      <c r="J32" s="25"/>
      <c r="L32" s="25"/>
      <c r="M32" s="25"/>
      <c r="N32" s="25"/>
      <c r="O32" s="25">
        <f t="shared" ca="1" si="3"/>
        <v>-5.5147474591004414E-2</v>
      </c>
      <c r="P32" s="25"/>
      <c r="Q32" s="26">
        <f t="shared" si="4"/>
        <v>11630.996999999999</v>
      </c>
      <c r="R32" s="26"/>
      <c r="S32" s="26"/>
      <c r="T32" s="26"/>
    </row>
    <row r="33" spans="1:36" x14ac:dyDescent="0.2">
      <c r="A33" s="54" t="s">
        <v>85</v>
      </c>
      <c r="B33" s="55" t="s">
        <v>52</v>
      </c>
      <c r="C33" s="54">
        <v>28069.487000000001</v>
      </c>
      <c r="D33" s="54" t="s">
        <v>77</v>
      </c>
      <c r="E33" s="25">
        <f t="shared" si="0"/>
        <v>564.99758965343608</v>
      </c>
      <c r="F33" s="25">
        <f t="shared" si="1"/>
        <v>565</v>
      </c>
      <c r="G33" s="25">
        <f t="shared" si="2"/>
        <v>-1.0729999998147832E-2</v>
      </c>
      <c r="H33" s="25"/>
      <c r="I33" s="25">
        <f t="shared" si="5"/>
        <v>-1.0729999998147832E-2</v>
      </c>
      <c r="J33" s="25"/>
      <c r="L33" s="25"/>
      <c r="M33" s="25"/>
      <c r="N33" s="25"/>
      <c r="O33" s="25">
        <f t="shared" ca="1" si="3"/>
        <v>-5.406995777270529E-2</v>
      </c>
      <c r="P33" s="25"/>
      <c r="Q33" s="26">
        <f t="shared" si="4"/>
        <v>13050.987000000001</v>
      </c>
      <c r="R33" s="26"/>
      <c r="S33" s="26"/>
      <c r="T33" s="26"/>
    </row>
    <row r="34" spans="1:36" x14ac:dyDescent="0.2">
      <c r="A34" s="54" t="s">
        <v>85</v>
      </c>
      <c r="B34" s="55" t="s">
        <v>52</v>
      </c>
      <c r="C34" s="54">
        <v>28078.41</v>
      </c>
      <c r="D34" s="54" t="s">
        <v>77</v>
      </c>
      <c r="E34" s="25">
        <f t="shared" si="0"/>
        <v>567.00201858100911</v>
      </c>
      <c r="F34" s="25">
        <f t="shared" si="1"/>
        <v>567</v>
      </c>
      <c r="G34" s="25">
        <f t="shared" si="2"/>
        <v>8.9860000007320195E-3</v>
      </c>
      <c r="H34" s="25"/>
      <c r="I34" s="25">
        <f t="shared" si="5"/>
        <v>8.9860000007320195E-3</v>
      </c>
      <c r="J34" s="25"/>
      <c r="L34" s="25"/>
      <c r="M34" s="25"/>
      <c r="N34" s="25"/>
      <c r="O34" s="25">
        <f t="shared" ca="1" si="3"/>
        <v>-5.4063202181367988E-2</v>
      </c>
      <c r="P34" s="25"/>
      <c r="Q34" s="26">
        <f t="shared" si="4"/>
        <v>13059.91</v>
      </c>
      <c r="R34" s="26"/>
      <c r="S34" s="26"/>
      <c r="T34" s="26"/>
    </row>
    <row r="35" spans="1:36" x14ac:dyDescent="0.2">
      <c r="A35" s="54" t="s">
        <v>85</v>
      </c>
      <c r="B35" s="55" t="s">
        <v>52</v>
      </c>
      <c r="C35" s="54">
        <v>28078.455000000002</v>
      </c>
      <c r="D35" s="54" t="s">
        <v>77</v>
      </c>
      <c r="E35" s="25">
        <f t="shared" si="0"/>
        <v>567.01212721058937</v>
      </c>
      <c r="F35" s="25">
        <f t="shared" si="1"/>
        <v>567</v>
      </c>
      <c r="G35" s="25">
        <f t="shared" si="2"/>
        <v>5.3986000002623769E-2</v>
      </c>
      <c r="H35" s="25"/>
      <c r="I35" s="25">
        <f t="shared" si="5"/>
        <v>5.3986000002623769E-2</v>
      </c>
      <c r="J35" s="25"/>
      <c r="L35" s="25"/>
      <c r="M35" s="25"/>
      <c r="N35" s="25"/>
      <c r="O35" s="25">
        <f t="shared" ca="1" si="3"/>
        <v>-5.4063202181367988E-2</v>
      </c>
      <c r="P35" s="25"/>
      <c r="Q35" s="26">
        <f t="shared" si="4"/>
        <v>13059.955000000002</v>
      </c>
      <c r="R35" s="26"/>
      <c r="S35" s="26"/>
      <c r="T35" s="26"/>
    </row>
    <row r="36" spans="1:36" x14ac:dyDescent="0.2">
      <c r="A36" s="54" t="s">
        <v>85</v>
      </c>
      <c r="B36" s="55" t="s">
        <v>52</v>
      </c>
      <c r="C36" s="54">
        <v>28127.365000000002</v>
      </c>
      <c r="D36" s="54" t="s">
        <v>77</v>
      </c>
      <c r="E36" s="25">
        <f t="shared" si="0"/>
        <v>577.9990843827967</v>
      </c>
      <c r="F36" s="25">
        <f t="shared" si="1"/>
        <v>578</v>
      </c>
      <c r="G36" s="25">
        <f t="shared" si="2"/>
        <v>-4.0759999974397942E-3</v>
      </c>
      <c r="H36" s="25"/>
      <c r="I36" s="25">
        <f t="shared" si="5"/>
        <v>-4.0759999974397942E-3</v>
      </c>
      <c r="J36" s="25"/>
      <c r="L36" s="25"/>
      <c r="M36" s="25"/>
      <c r="N36" s="25"/>
      <c r="O36" s="25">
        <f t="shared" ca="1" si="3"/>
        <v>-5.4026046429012847E-2</v>
      </c>
      <c r="P36" s="25"/>
      <c r="Q36" s="26">
        <f t="shared" si="4"/>
        <v>13108.865000000002</v>
      </c>
      <c r="R36" s="26"/>
      <c r="S36" s="26"/>
      <c r="T36" s="26"/>
    </row>
    <row r="37" spans="1:36" x14ac:dyDescent="0.2">
      <c r="A37" s="54" t="s">
        <v>85</v>
      </c>
      <c r="B37" s="55" t="s">
        <v>52</v>
      </c>
      <c r="C37" s="54">
        <v>28127.39</v>
      </c>
      <c r="D37" s="54" t="s">
        <v>77</v>
      </c>
      <c r="E37" s="25">
        <f t="shared" si="0"/>
        <v>578.00470028811844</v>
      </c>
      <c r="F37" s="25">
        <f t="shared" si="1"/>
        <v>578</v>
      </c>
      <c r="G37" s="25">
        <f t="shared" si="2"/>
        <v>2.0924000000377418E-2</v>
      </c>
      <c r="H37" s="25"/>
      <c r="I37" s="25">
        <f t="shared" si="5"/>
        <v>2.0924000000377418E-2</v>
      </c>
      <c r="J37" s="25"/>
      <c r="L37" s="25"/>
      <c r="M37" s="25"/>
      <c r="N37" s="25"/>
      <c r="O37" s="25">
        <f t="shared" ca="1" si="3"/>
        <v>-5.4026046429012847E-2</v>
      </c>
      <c r="P37" s="25"/>
      <c r="Q37" s="26">
        <f t="shared" si="4"/>
        <v>13108.89</v>
      </c>
      <c r="R37" s="26"/>
      <c r="S37" s="26"/>
      <c r="T37" s="26"/>
    </row>
    <row r="38" spans="1:36" x14ac:dyDescent="0.2">
      <c r="A38" s="54" t="s">
        <v>85</v>
      </c>
      <c r="B38" s="55" t="s">
        <v>52</v>
      </c>
      <c r="C38" s="54">
        <v>28127.437000000002</v>
      </c>
      <c r="D38" s="54" t="s">
        <v>77</v>
      </c>
      <c r="E38" s="25">
        <f t="shared" si="0"/>
        <v>578.01525819012454</v>
      </c>
      <c r="F38" s="25">
        <f t="shared" si="1"/>
        <v>578</v>
      </c>
      <c r="G38" s="25">
        <f t="shared" si="2"/>
        <v>6.7924000002676621E-2</v>
      </c>
      <c r="H38" s="25"/>
      <c r="I38" s="25">
        <f t="shared" si="5"/>
        <v>6.7924000002676621E-2</v>
      </c>
      <c r="J38" s="25"/>
      <c r="L38" s="25"/>
      <c r="M38" s="25"/>
      <c r="N38" s="25"/>
      <c r="O38" s="25">
        <f t="shared" ca="1" si="3"/>
        <v>-5.4026046429012847E-2</v>
      </c>
      <c r="P38" s="25"/>
      <c r="Q38" s="26">
        <f t="shared" si="4"/>
        <v>13108.937000000002</v>
      </c>
      <c r="R38" s="26"/>
      <c r="S38" s="26"/>
      <c r="T38" s="26"/>
    </row>
    <row r="39" spans="1:36" x14ac:dyDescent="0.2">
      <c r="A39" s="54" t="s">
        <v>85</v>
      </c>
      <c r="B39" s="55" t="s">
        <v>52</v>
      </c>
      <c r="C39" s="54">
        <v>28425.550999999999</v>
      </c>
      <c r="D39" s="54" t="s">
        <v>77</v>
      </c>
      <c r="E39" s="25">
        <f t="shared" si="0"/>
        <v>644.98245815813584</v>
      </c>
      <c r="F39" s="25">
        <f t="shared" si="1"/>
        <v>645</v>
      </c>
      <c r="G39" s="25">
        <f t="shared" si="2"/>
        <v>-7.8089999999065185E-2</v>
      </c>
      <c r="H39" s="25"/>
      <c r="I39" s="25">
        <f t="shared" si="5"/>
        <v>-7.8089999999065185E-2</v>
      </c>
      <c r="J39" s="25"/>
      <c r="L39" s="25"/>
      <c r="M39" s="25"/>
      <c r="N39" s="25"/>
      <c r="O39" s="25">
        <f t="shared" ca="1" si="3"/>
        <v>-5.3799734119213342E-2</v>
      </c>
      <c r="P39" s="25"/>
      <c r="Q39" s="26">
        <f t="shared" si="4"/>
        <v>13407.050999999999</v>
      </c>
      <c r="R39" s="26"/>
      <c r="S39" s="26"/>
      <c r="T39" s="26"/>
    </row>
    <row r="40" spans="1:36" x14ac:dyDescent="0.2">
      <c r="A40" s="54" t="s">
        <v>85</v>
      </c>
      <c r="B40" s="55" t="s">
        <v>52</v>
      </c>
      <c r="C40" s="54">
        <v>28750.544000000002</v>
      </c>
      <c r="D40" s="54" t="s">
        <v>77</v>
      </c>
      <c r="E40" s="25">
        <f t="shared" si="0"/>
        <v>717.98765489228515</v>
      </c>
      <c r="F40" s="25">
        <f t="shared" si="1"/>
        <v>718</v>
      </c>
      <c r="G40" s="25">
        <f t="shared" si="2"/>
        <v>-5.4955999996309401E-2</v>
      </c>
      <c r="H40" s="25"/>
      <c r="I40" s="25">
        <f t="shared" si="5"/>
        <v>-5.4955999996309401E-2</v>
      </c>
      <c r="J40" s="25"/>
      <c r="L40" s="25"/>
      <c r="M40" s="25"/>
      <c r="N40" s="25"/>
      <c r="O40" s="25">
        <f t="shared" ca="1" si="3"/>
        <v>-5.355315503540195E-2</v>
      </c>
      <c r="P40" s="25"/>
      <c r="Q40" s="26">
        <f t="shared" si="4"/>
        <v>13732.044000000002</v>
      </c>
      <c r="R40" s="26"/>
      <c r="S40" s="26"/>
      <c r="T40" s="26"/>
    </row>
    <row r="41" spans="1:36" x14ac:dyDescent="0.2">
      <c r="A41" s="54" t="s">
        <v>85</v>
      </c>
      <c r="B41" s="55" t="s">
        <v>52</v>
      </c>
      <c r="C41" s="54">
        <v>28955.312000000002</v>
      </c>
      <c r="D41" s="54" t="s">
        <v>77</v>
      </c>
      <c r="E41" s="25">
        <f t="shared" si="0"/>
        <v>763.9859629323297</v>
      </c>
      <c r="F41" s="25">
        <f t="shared" si="1"/>
        <v>764</v>
      </c>
      <c r="G41" s="25">
        <f t="shared" si="2"/>
        <v>-6.248799999957555E-2</v>
      </c>
      <c r="H41" s="25"/>
      <c r="I41" s="25">
        <f t="shared" si="5"/>
        <v>-6.248799999957555E-2</v>
      </c>
      <c r="J41" s="25"/>
      <c r="L41" s="25"/>
      <c r="M41" s="25"/>
      <c r="N41" s="25"/>
      <c r="O41" s="25">
        <f t="shared" ca="1" si="3"/>
        <v>-5.3397776434644079E-2</v>
      </c>
      <c r="P41" s="25"/>
      <c r="Q41" s="26">
        <f t="shared" si="4"/>
        <v>13936.812000000002</v>
      </c>
      <c r="R41" s="26"/>
      <c r="S41" s="26"/>
      <c r="T41" s="26"/>
    </row>
    <row r="42" spans="1:36" x14ac:dyDescent="0.2">
      <c r="A42" s="54" t="s">
        <v>85</v>
      </c>
      <c r="B42" s="55" t="s">
        <v>52</v>
      </c>
      <c r="C42" s="54">
        <v>28964.326000000001</v>
      </c>
      <c r="D42" s="54" t="s">
        <v>77</v>
      </c>
      <c r="E42" s="25">
        <f t="shared" si="0"/>
        <v>766.01083375527537</v>
      </c>
      <c r="F42" s="25">
        <f t="shared" si="1"/>
        <v>766</v>
      </c>
      <c r="G42" s="25">
        <f t="shared" si="2"/>
        <v>4.8227999999653548E-2</v>
      </c>
      <c r="H42" s="25"/>
      <c r="I42" s="25">
        <f t="shared" si="5"/>
        <v>4.8227999999653548E-2</v>
      </c>
      <c r="J42" s="25"/>
      <c r="L42" s="25"/>
      <c r="M42" s="25"/>
      <c r="N42" s="25"/>
      <c r="O42" s="25">
        <f t="shared" ca="1" si="3"/>
        <v>-5.3391020843306783E-2</v>
      </c>
      <c r="P42" s="25"/>
      <c r="Q42" s="26">
        <f t="shared" si="4"/>
        <v>13945.826000000001</v>
      </c>
      <c r="R42" s="26"/>
      <c r="S42" s="26"/>
      <c r="T42" s="26"/>
    </row>
    <row r="43" spans="1:36" x14ac:dyDescent="0.2">
      <c r="A43" s="54" t="s">
        <v>85</v>
      </c>
      <c r="B43" s="55" t="s">
        <v>52</v>
      </c>
      <c r="C43" s="54">
        <v>29231.401000000002</v>
      </c>
      <c r="D43" s="54" t="s">
        <v>77</v>
      </c>
      <c r="E43" s="25">
        <f t="shared" si="0"/>
        <v>826.00555031154852</v>
      </c>
      <c r="F43" s="25">
        <f t="shared" si="1"/>
        <v>826</v>
      </c>
      <c r="G43" s="25">
        <f t="shared" si="2"/>
        <v>2.4708000000828179E-2</v>
      </c>
      <c r="H43" s="25"/>
      <c r="I43" s="25">
        <f t="shared" si="5"/>
        <v>2.4708000000828179E-2</v>
      </c>
      <c r="J43" s="25"/>
      <c r="L43" s="25"/>
      <c r="M43" s="25"/>
      <c r="N43" s="25"/>
      <c r="O43" s="25">
        <f t="shared" ca="1" si="3"/>
        <v>-5.3188353103187827E-2</v>
      </c>
      <c r="P43" s="25"/>
      <c r="Q43" s="26">
        <f t="shared" si="4"/>
        <v>14212.901000000002</v>
      </c>
      <c r="R43" s="26"/>
      <c r="S43" s="26"/>
      <c r="T43" s="26"/>
    </row>
    <row r="44" spans="1:36" x14ac:dyDescent="0.2">
      <c r="A44" s="54" t="s">
        <v>85</v>
      </c>
      <c r="B44" s="55" t="s">
        <v>52</v>
      </c>
      <c r="C44" s="54">
        <v>29231.421999999999</v>
      </c>
      <c r="D44" s="54" t="s">
        <v>77</v>
      </c>
      <c r="E44" s="25">
        <f t="shared" si="0"/>
        <v>826.01026767201836</v>
      </c>
      <c r="F44" s="25">
        <f t="shared" si="1"/>
        <v>826</v>
      </c>
      <c r="G44" s="25">
        <f t="shared" si="2"/>
        <v>4.5707999997830484E-2</v>
      </c>
      <c r="H44" s="25"/>
      <c r="I44" s="25">
        <f t="shared" si="5"/>
        <v>4.5707999997830484E-2</v>
      </c>
      <c r="J44" s="25"/>
      <c r="L44" s="25"/>
      <c r="M44" s="25"/>
      <c r="N44" s="25"/>
      <c r="O44" s="25">
        <f t="shared" ca="1" si="3"/>
        <v>-5.3188353103187827E-2</v>
      </c>
      <c r="P44" s="25"/>
      <c r="Q44" s="26">
        <f t="shared" si="4"/>
        <v>14212.921999999999</v>
      </c>
      <c r="R44" s="26"/>
      <c r="S44" s="26"/>
      <c r="T44" s="26"/>
    </row>
    <row r="45" spans="1:36" x14ac:dyDescent="0.2">
      <c r="A45" s="54" t="s">
        <v>85</v>
      </c>
      <c r="B45" s="55" t="s">
        <v>52</v>
      </c>
      <c r="C45" s="54">
        <v>36603.25</v>
      </c>
      <c r="D45" s="54" t="s">
        <v>77</v>
      </c>
      <c r="E45" s="25">
        <f t="shared" si="0"/>
        <v>2481.9897916319419</v>
      </c>
      <c r="F45" s="25">
        <f t="shared" si="1"/>
        <v>2482</v>
      </c>
      <c r="G45" s="25">
        <f t="shared" si="2"/>
        <v>-4.5444000003044493E-2</v>
      </c>
      <c r="H45" s="25"/>
      <c r="I45" s="25">
        <f t="shared" si="5"/>
        <v>-4.5444000003044493E-2</v>
      </c>
      <c r="J45" s="25"/>
      <c r="L45" s="25"/>
      <c r="M45" s="25"/>
      <c r="N45" s="25"/>
      <c r="O45" s="25">
        <f t="shared" ca="1" si="3"/>
        <v>-4.7594723475904599E-2</v>
      </c>
      <c r="P45" s="25"/>
      <c r="Q45" s="26">
        <f t="shared" si="4"/>
        <v>21584.75</v>
      </c>
      <c r="R45" s="26"/>
      <c r="S45" s="26"/>
      <c r="T45" s="26"/>
    </row>
    <row r="46" spans="1:36" x14ac:dyDescent="0.2">
      <c r="A46" s="54" t="s">
        <v>85</v>
      </c>
      <c r="B46" s="55" t="s">
        <v>52</v>
      </c>
      <c r="C46" s="54">
        <v>36612.264999999999</v>
      </c>
      <c r="D46" s="54" t="s">
        <v>77</v>
      </c>
      <c r="E46" s="25">
        <f t="shared" si="0"/>
        <v>2484.0148870911003</v>
      </c>
      <c r="F46" s="25">
        <f t="shared" si="1"/>
        <v>2484</v>
      </c>
      <c r="G46" s="25">
        <f t="shared" si="2"/>
        <v>6.6271999996388331E-2</v>
      </c>
      <c r="H46" s="25"/>
      <c r="I46" s="25">
        <f t="shared" si="5"/>
        <v>6.6271999996388331E-2</v>
      </c>
      <c r="J46" s="25"/>
      <c r="L46" s="25"/>
      <c r="M46" s="25"/>
      <c r="N46" s="25"/>
      <c r="O46" s="25">
        <f t="shared" ca="1" si="3"/>
        <v>-4.7587967884567296E-2</v>
      </c>
      <c r="P46" s="25"/>
      <c r="Q46" s="26">
        <f t="shared" si="4"/>
        <v>21593.764999999999</v>
      </c>
      <c r="R46" s="26"/>
      <c r="S46" s="26"/>
      <c r="T46" s="26"/>
    </row>
    <row r="47" spans="1:36" x14ac:dyDescent="0.2">
      <c r="A47" s="54" t="s">
        <v>162</v>
      </c>
      <c r="B47" s="55" t="s">
        <v>52</v>
      </c>
      <c r="C47" s="54">
        <v>44166.468999999997</v>
      </c>
      <c r="D47" s="54" t="s">
        <v>77</v>
      </c>
      <c r="E47" s="25">
        <f t="shared" si="0"/>
        <v>4180.9626650121463</v>
      </c>
      <c r="F47" s="25">
        <f t="shared" si="1"/>
        <v>4181</v>
      </c>
      <c r="G47" s="25">
        <f t="shared" si="2"/>
        <v>-0.16620200000033947</v>
      </c>
      <c r="H47" s="25"/>
      <c r="I47" s="25">
        <f t="shared" si="5"/>
        <v>-0.16620200000033947</v>
      </c>
      <c r="J47" s="25"/>
      <c r="L47" s="25"/>
      <c r="M47" s="25"/>
      <c r="N47" s="25"/>
      <c r="O47" s="25">
        <f t="shared" ca="1" si="3"/>
        <v>-4.185584863486945E-2</v>
      </c>
      <c r="P47" s="25"/>
      <c r="Q47" s="26">
        <f t="shared" si="4"/>
        <v>29147.968999999997</v>
      </c>
      <c r="R47" s="26"/>
      <c r="S47" s="26"/>
      <c r="T47" s="26"/>
    </row>
    <row r="48" spans="1:36" x14ac:dyDescent="0.2">
      <c r="A48" s="25" t="s">
        <v>32</v>
      </c>
      <c r="B48" s="25"/>
      <c r="C48" s="28">
        <v>45021.24</v>
      </c>
      <c r="D48" s="28"/>
      <c r="E48" s="25">
        <f t="shared" si="0"/>
        <v>4372.9751853361076</v>
      </c>
      <c r="F48" s="25">
        <f t="shared" si="1"/>
        <v>4373</v>
      </c>
      <c r="G48" s="25">
        <f t="shared" si="2"/>
        <v>-0.11046600000554463</v>
      </c>
      <c r="H48" s="25"/>
      <c r="I48" s="25">
        <f t="shared" si="5"/>
        <v>-0.11046600000554463</v>
      </c>
      <c r="J48" s="25"/>
      <c r="K48" s="25"/>
      <c r="L48" s="25"/>
      <c r="M48" s="25"/>
      <c r="N48" s="25"/>
      <c r="O48" s="25">
        <f t="shared" ca="1" si="3"/>
        <v>-4.1207311866488787E-2</v>
      </c>
      <c r="P48" s="25"/>
      <c r="Q48" s="26">
        <f t="shared" si="4"/>
        <v>30002.739999999998</v>
      </c>
      <c r="R48" s="26"/>
      <c r="S48" s="26"/>
      <c r="T48" s="26"/>
      <c r="U48" s="25"/>
      <c r="AD48" t="s">
        <v>30</v>
      </c>
      <c r="AE48" t="s">
        <v>31</v>
      </c>
      <c r="AJ48" t="s">
        <v>33</v>
      </c>
    </row>
    <row r="49" spans="1:36" x14ac:dyDescent="0.2">
      <c r="A49" s="25" t="s">
        <v>36</v>
      </c>
      <c r="B49" s="25" t="s">
        <v>51</v>
      </c>
      <c r="C49" s="28">
        <v>45326.243699999999</v>
      </c>
      <c r="D49" s="28"/>
      <c r="E49" s="25">
        <f t="shared" si="0"/>
        <v>4441.4900614200333</v>
      </c>
      <c r="F49" s="25">
        <f t="shared" si="1"/>
        <v>4441.5</v>
      </c>
      <c r="G49" s="25">
        <f t="shared" si="2"/>
        <v>-4.4243000003916677E-2</v>
      </c>
      <c r="H49" s="25"/>
      <c r="I49" s="25"/>
      <c r="J49" s="25">
        <f>+G49</f>
        <v>-4.4243000003916677E-2</v>
      </c>
      <c r="K49" s="25"/>
      <c r="L49" s="25"/>
      <c r="M49" s="25"/>
      <c r="N49" s="25"/>
      <c r="O49" s="25">
        <f t="shared" ca="1" si="3"/>
        <v>-4.0975932863186307E-2</v>
      </c>
      <c r="P49" s="25"/>
      <c r="Q49" s="26">
        <f t="shared" si="4"/>
        <v>30307.743699999999</v>
      </c>
      <c r="R49" s="26"/>
      <c r="S49" s="26"/>
      <c r="T49" s="26"/>
      <c r="U49" s="25"/>
      <c r="AD49" t="s">
        <v>34</v>
      </c>
      <c r="AE49" t="s">
        <v>35</v>
      </c>
      <c r="AJ49" t="s">
        <v>33</v>
      </c>
    </row>
    <row r="50" spans="1:36" x14ac:dyDescent="0.2">
      <c r="A50" s="25" t="s">
        <v>36</v>
      </c>
      <c r="B50" s="25" t="s">
        <v>52</v>
      </c>
      <c r="C50" s="28">
        <v>45386.340700000001</v>
      </c>
      <c r="D50" s="28"/>
      <c r="E50" s="25">
        <f t="shared" si="0"/>
        <v>4454.9900239057861</v>
      </c>
      <c r="F50" s="25">
        <f t="shared" si="1"/>
        <v>4455</v>
      </c>
      <c r="G50" s="25">
        <f t="shared" si="2"/>
        <v>-4.4410000002244487E-2</v>
      </c>
      <c r="H50" s="25"/>
      <c r="I50" s="25"/>
      <c r="J50" s="25">
        <f>+G50</f>
        <v>-4.4410000002244487E-2</v>
      </c>
      <c r="K50" s="25"/>
      <c r="L50" s="25"/>
      <c r="M50" s="25"/>
      <c r="N50" s="25"/>
      <c r="O50" s="25">
        <f t="shared" ca="1" si="3"/>
        <v>-4.0930332621659543E-2</v>
      </c>
      <c r="P50" s="25"/>
      <c r="Q50" s="26">
        <f t="shared" si="4"/>
        <v>30367.840700000001</v>
      </c>
      <c r="R50" s="26"/>
      <c r="S50" s="26"/>
      <c r="T50" s="26"/>
      <c r="U50" s="25"/>
      <c r="AE50" t="s">
        <v>35</v>
      </c>
      <c r="AJ50" t="s">
        <v>33</v>
      </c>
    </row>
    <row r="51" spans="1:36" x14ac:dyDescent="0.2">
      <c r="A51" s="25" t="s">
        <v>36</v>
      </c>
      <c r="B51" s="25" t="s">
        <v>52</v>
      </c>
      <c r="C51" s="28">
        <v>45386.340900000003</v>
      </c>
      <c r="D51" s="28"/>
      <c r="E51" s="25">
        <f t="shared" si="0"/>
        <v>4454.990068833029</v>
      </c>
      <c r="F51" s="25">
        <f t="shared" si="1"/>
        <v>4455</v>
      </c>
      <c r="G51" s="25">
        <f t="shared" si="2"/>
        <v>-4.4210000000020955E-2</v>
      </c>
      <c r="H51" s="25"/>
      <c r="I51" s="25"/>
      <c r="J51" s="25">
        <f>+G51</f>
        <v>-4.4210000000020955E-2</v>
      </c>
      <c r="K51" s="25"/>
      <c r="L51" s="25"/>
      <c r="M51" s="25"/>
      <c r="N51" s="25"/>
      <c r="O51" s="25">
        <f t="shared" ca="1" si="3"/>
        <v>-4.0930332621659543E-2</v>
      </c>
      <c r="P51" s="25"/>
      <c r="Q51" s="26">
        <f t="shared" si="4"/>
        <v>30367.840900000003</v>
      </c>
      <c r="R51" s="26"/>
      <c r="S51" s="26"/>
      <c r="T51" s="26"/>
      <c r="U51" s="25"/>
      <c r="AE51" t="s">
        <v>35</v>
      </c>
      <c r="AJ51" t="s">
        <v>33</v>
      </c>
    </row>
    <row r="52" spans="1:36" x14ac:dyDescent="0.2">
      <c r="A52" s="25" t="s">
        <v>36</v>
      </c>
      <c r="B52" s="25" t="s">
        <v>52</v>
      </c>
      <c r="C52" s="28">
        <v>45435.308900000004</v>
      </c>
      <c r="D52" s="28"/>
      <c r="E52" s="25">
        <f t="shared" si="0"/>
        <v>4465.9900549055847</v>
      </c>
      <c r="F52" s="25">
        <f t="shared" si="1"/>
        <v>4466</v>
      </c>
      <c r="G52" s="25">
        <f t="shared" si="2"/>
        <v>-4.4271999999182299E-2</v>
      </c>
      <c r="H52" s="25"/>
      <c r="I52" s="25"/>
      <c r="J52" s="25">
        <f>+G52</f>
        <v>-4.4271999999182299E-2</v>
      </c>
      <c r="K52" s="25"/>
      <c r="L52" s="25"/>
      <c r="M52" s="25"/>
      <c r="N52" s="25"/>
      <c r="O52" s="25">
        <f t="shared" ca="1" si="3"/>
        <v>-4.0893176869304403E-2</v>
      </c>
      <c r="P52" s="25"/>
      <c r="Q52" s="26">
        <f t="shared" si="4"/>
        <v>30416.808900000004</v>
      </c>
      <c r="R52" s="26"/>
      <c r="S52" s="26"/>
      <c r="T52" s="26"/>
      <c r="U52" s="25"/>
      <c r="AE52" t="s">
        <v>35</v>
      </c>
      <c r="AJ52" t="s">
        <v>33</v>
      </c>
    </row>
    <row r="53" spans="1:36" x14ac:dyDescent="0.2">
      <c r="A53" s="25" t="s">
        <v>38</v>
      </c>
      <c r="B53" s="25"/>
      <c r="C53" s="28">
        <v>45653.453000000001</v>
      </c>
      <c r="D53" s="28"/>
      <c r="E53" s="25">
        <f t="shared" ref="E53:E62" si="6">+(C53-C$7)/C$8</f>
        <v>4514.9931193927996</v>
      </c>
      <c r="F53" s="25">
        <f t="shared" ref="F53:F62" si="7">ROUND(2*E53,0)/2</f>
        <v>4515</v>
      </c>
      <c r="G53" s="25">
        <f t="shared" si="2"/>
        <v>-3.0630000001110602E-2</v>
      </c>
      <c r="H53" s="25"/>
      <c r="I53" s="25">
        <f>+G53</f>
        <v>-3.0630000001110602E-2</v>
      </c>
      <c r="J53" s="25"/>
      <c r="K53" s="25"/>
      <c r="L53" s="25"/>
      <c r="M53" s="25"/>
      <c r="N53" s="25"/>
      <c r="O53" s="25">
        <f t="shared" ref="O53:O62" ca="1" si="8">+C$11+C$12*F53</f>
        <v>-4.0727664881540587E-2</v>
      </c>
      <c r="P53" s="25"/>
      <c r="Q53" s="26">
        <f t="shared" ref="Q53:Q62" si="9">+C53-15018.5</f>
        <v>30634.953000000001</v>
      </c>
      <c r="R53" s="26"/>
      <c r="S53" s="26"/>
      <c r="T53" s="26"/>
      <c r="U53" s="25"/>
      <c r="AE53" t="s">
        <v>37</v>
      </c>
      <c r="AJ53" t="s">
        <v>33</v>
      </c>
    </row>
    <row r="54" spans="1:36" x14ac:dyDescent="0.2">
      <c r="A54" s="25" t="s">
        <v>39</v>
      </c>
      <c r="B54" s="25"/>
      <c r="C54" s="28">
        <v>45987.345999999998</v>
      </c>
      <c r="D54" s="28"/>
      <c r="E54" s="25">
        <f t="shared" si="6"/>
        <v>4589.9975784216249</v>
      </c>
      <c r="F54" s="25">
        <f t="shared" si="7"/>
        <v>4590</v>
      </c>
      <c r="G54" s="25">
        <f t="shared" si="2"/>
        <v>-1.0780000004160684E-2</v>
      </c>
      <c r="H54" s="25"/>
      <c r="I54" s="25">
        <f>+G54</f>
        <v>-1.0780000004160684E-2</v>
      </c>
      <c r="J54" s="25"/>
      <c r="K54" s="25"/>
      <c r="L54" s="25"/>
      <c r="M54" s="25"/>
      <c r="N54" s="25"/>
      <c r="O54" s="25">
        <f t="shared" ca="1" si="8"/>
        <v>-4.0474330206391892E-2</v>
      </c>
      <c r="P54" s="25"/>
      <c r="Q54" s="26">
        <f t="shared" si="9"/>
        <v>30968.845999999998</v>
      </c>
      <c r="R54" s="26"/>
      <c r="S54" s="26"/>
      <c r="T54" s="26"/>
      <c r="U54" s="25"/>
      <c r="AE54" t="s">
        <v>37</v>
      </c>
      <c r="AJ54" t="s">
        <v>33</v>
      </c>
    </row>
    <row r="55" spans="1:36" x14ac:dyDescent="0.2">
      <c r="A55" s="25" t="s">
        <v>41</v>
      </c>
      <c r="B55" s="25"/>
      <c r="C55" s="28">
        <v>46116.356</v>
      </c>
      <c r="D55" s="28"/>
      <c r="E55" s="25">
        <f t="shared" si="6"/>
        <v>4618.977896245925</v>
      </c>
      <c r="F55" s="25">
        <f t="shared" si="7"/>
        <v>4619</v>
      </c>
      <c r="G55" s="25">
        <f t="shared" si="2"/>
        <v>-9.8398000001907349E-2</v>
      </c>
      <c r="H55" s="25"/>
      <c r="I55" s="25">
        <f>+G55</f>
        <v>-9.8398000001907349E-2</v>
      </c>
      <c r="K55" s="25"/>
      <c r="L55" s="25"/>
      <c r="M55" s="25"/>
      <c r="N55" s="25"/>
      <c r="O55" s="25">
        <f t="shared" ca="1" si="8"/>
        <v>-4.0376374132001062E-2</v>
      </c>
      <c r="P55" s="25"/>
      <c r="Q55" s="26">
        <f t="shared" si="9"/>
        <v>31097.856</v>
      </c>
      <c r="R55" s="26"/>
      <c r="S55" s="26"/>
      <c r="T55" s="26"/>
      <c r="U55" s="25"/>
      <c r="AD55" t="s">
        <v>30</v>
      </c>
      <c r="AE55" t="s">
        <v>35</v>
      </c>
      <c r="AF55">
        <v>6</v>
      </c>
      <c r="AH55" t="s">
        <v>40</v>
      </c>
      <c r="AJ55" t="s">
        <v>42</v>
      </c>
    </row>
    <row r="56" spans="1:36" x14ac:dyDescent="0.2">
      <c r="A56" s="25" t="s">
        <v>43</v>
      </c>
      <c r="B56" s="25"/>
      <c r="C56" s="28">
        <v>46352.327100000002</v>
      </c>
      <c r="D56" s="28"/>
      <c r="E56" s="25">
        <f t="shared" si="6"/>
        <v>4671.9855505002433</v>
      </c>
      <c r="F56" s="25">
        <f t="shared" si="7"/>
        <v>4672</v>
      </c>
      <c r="G56" s="25">
        <f t="shared" si="2"/>
        <v>-6.4323999999032822E-2</v>
      </c>
      <c r="H56" s="25"/>
      <c r="I56" s="25"/>
      <c r="J56" s="25">
        <f>+G56</f>
        <v>-6.4323999999032822E-2</v>
      </c>
      <c r="K56" s="25"/>
      <c r="L56" s="25"/>
      <c r="M56" s="25"/>
      <c r="O56" s="25">
        <f t="shared" ca="1" si="8"/>
        <v>-4.0197350961562649E-2</v>
      </c>
      <c r="P56" s="25"/>
      <c r="Q56" s="26">
        <f t="shared" si="9"/>
        <v>31333.827100000002</v>
      </c>
      <c r="R56" s="26"/>
      <c r="S56" s="26"/>
      <c r="T56" s="26"/>
      <c r="U56" s="25"/>
      <c r="AD56" t="s">
        <v>30</v>
      </c>
      <c r="AE56" t="s">
        <v>35</v>
      </c>
      <c r="AJ56" t="s">
        <v>33</v>
      </c>
    </row>
    <row r="57" spans="1:36" x14ac:dyDescent="0.2">
      <c r="A57" s="25" t="s">
        <v>44</v>
      </c>
      <c r="B57" s="25"/>
      <c r="C57" s="28">
        <v>46352.327799999999</v>
      </c>
      <c r="D57" s="28"/>
      <c r="E57" s="25">
        <f t="shared" si="6"/>
        <v>4671.9857077455918</v>
      </c>
      <c r="F57" s="25">
        <f t="shared" si="7"/>
        <v>4672</v>
      </c>
      <c r="G57" s="25">
        <f t="shared" si="2"/>
        <v>-6.3624000002164394E-2</v>
      </c>
      <c r="H57" s="25"/>
      <c r="I57" s="25"/>
      <c r="J57" s="25">
        <f>+G57</f>
        <v>-6.3624000002164394E-2</v>
      </c>
      <c r="K57" s="25"/>
      <c r="L57" s="25"/>
      <c r="M57" s="25"/>
      <c r="O57" s="25">
        <f t="shared" ca="1" si="8"/>
        <v>-4.0197350961562649E-2</v>
      </c>
      <c r="P57" s="25"/>
      <c r="Q57" s="26">
        <f t="shared" si="9"/>
        <v>31333.827799999999</v>
      </c>
      <c r="R57" s="26"/>
      <c r="S57" s="26"/>
      <c r="T57" s="26"/>
      <c r="U57" s="25"/>
      <c r="AD57" t="s">
        <v>30</v>
      </c>
      <c r="AE57" t="s">
        <v>35</v>
      </c>
      <c r="AJ57" t="s">
        <v>33</v>
      </c>
    </row>
    <row r="58" spans="1:36" x14ac:dyDescent="0.2">
      <c r="A58" s="25" t="s">
        <v>45</v>
      </c>
      <c r="B58" s="25"/>
      <c r="C58" s="28">
        <v>47082.410100000001</v>
      </c>
      <c r="D58" s="28"/>
      <c r="E58" s="25">
        <f t="shared" si="6"/>
        <v>4835.9886307119941</v>
      </c>
      <c r="F58" s="25">
        <f t="shared" si="7"/>
        <v>4836</v>
      </c>
      <c r="G58" s="25">
        <f t="shared" si="2"/>
        <v>-5.0611999999091495E-2</v>
      </c>
      <c r="H58" s="25"/>
      <c r="J58" s="25">
        <f>+G58</f>
        <v>-5.0611999999091495E-2</v>
      </c>
      <c r="K58" s="25"/>
      <c r="L58" s="25"/>
      <c r="M58" s="25"/>
      <c r="N58" s="25"/>
      <c r="O58" s="25">
        <f t="shared" ca="1" si="8"/>
        <v>-3.9643392471904168E-2</v>
      </c>
      <c r="P58" s="25"/>
      <c r="Q58" s="26">
        <f t="shared" si="9"/>
        <v>32063.910100000001</v>
      </c>
      <c r="R58" s="26"/>
      <c r="S58" s="26"/>
      <c r="T58" s="26"/>
      <c r="U58" s="25"/>
      <c r="AE58" t="s">
        <v>35</v>
      </c>
      <c r="AF58" t="s">
        <v>42</v>
      </c>
      <c r="AJ58" t="s">
        <v>33</v>
      </c>
    </row>
    <row r="59" spans="1:36" x14ac:dyDescent="0.2">
      <c r="A59" s="29" t="s">
        <v>45</v>
      </c>
      <c r="B59" s="29"/>
      <c r="C59" s="30">
        <v>47082.426099999997</v>
      </c>
      <c r="D59" s="30"/>
      <c r="E59" s="25">
        <f t="shared" si="6"/>
        <v>4835.992224891399</v>
      </c>
      <c r="F59" s="25">
        <f t="shared" si="7"/>
        <v>4836</v>
      </c>
      <c r="G59" s="25">
        <f t="shared" si="2"/>
        <v>-3.4612000003107823E-2</v>
      </c>
      <c r="H59" s="25"/>
      <c r="J59" s="25">
        <f>+G59</f>
        <v>-3.4612000003107823E-2</v>
      </c>
      <c r="K59" s="25"/>
      <c r="L59" s="25"/>
      <c r="M59" s="25"/>
      <c r="N59" s="25"/>
      <c r="O59" s="25">
        <f t="shared" ca="1" si="8"/>
        <v>-3.9643392471904168E-2</v>
      </c>
      <c r="P59" s="25"/>
      <c r="Q59" s="26">
        <f t="shared" si="9"/>
        <v>32063.926099999997</v>
      </c>
      <c r="R59" s="26"/>
      <c r="S59" s="26"/>
      <c r="T59" s="26"/>
      <c r="U59" s="25"/>
      <c r="AE59" t="s">
        <v>35</v>
      </c>
      <c r="AF59" t="s">
        <v>46</v>
      </c>
      <c r="AJ59" t="s">
        <v>33</v>
      </c>
    </row>
    <row r="60" spans="1:36" x14ac:dyDescent="0.2">
      <c r="A60" s="54" t="s">
        <v>208</v>
      </c>
      <c r="B60" s="55" t="s">
        <v>52</v>
      </c>
      <c r="C60" s="54">
        <v>47603.356</v>
      </c>
      <c r="D60" s="54" t="s">
        <v>77</v>
      </c>
      <c r="E60" s="25">
        <f t="shared" si="6"/>
        <v>4953.0119448059841</v>
      </c>
      <c r="F60" s="25">
        <f t="shared" si="7"/>
        <v>4953</v>
      </c>
      <c r="G60" s="25">
        <f t="shared" si="2"/>
        <v>5.3174000000581145E-2</v>
      </c>
      <c r="H60" s="25"/>
      <c r="I60" s="25">
        <f>+G60</f>
        <v>5.3174000000581145E-2</v>
      </c>
      <c r="J60" s="25"/>
      <c r="L60" s="25"/>
      <c r="M60" s="25"/>
      <c r="N60" s="25"/>
      <c r="O60" s="25">
        <f t="shared" ca="1" si="8"/>
        <v>-3.9248190378672193E-2</v>
      </c>
      <c r="P60" s="25"/>
      <c r="Q60" s="26">
        <f t="shared" si="9"/>
        <v>32584.856</v>
      </c>
      <c r="R60" s="26"/>
      <c r="S60" s="26"/>
      <c r="T60" s="26"/>
    </row>
    <row r="61" spans="1:36" x14ac:dyDescent="0.2">
      <c r="A61" s="29" t="s">
        <v>49</v>
      </c>
      <c r="B61" s="29"/>
      <c r="C61" s="30">
        <v>48250.372000000003</v>
      </c>
      <c r="D61" s="30">
        <v>3.0000000000000001E-3</v>
      </c>
      <c r="E61" s="25">
        <f t="shared" si="6"/>
        <v>5098.3551687220142</v>
      </c>
      <c r="F61" s="25">
        <f t="shared" si="7"/>
        <v>5098.5</v>
      </c>
      <c r="G61" s="25"/>
      <c r="H61" s="25"/>
      <c r="I61" s="25"/>
      <c r="K61" s="25"/>
      <c r="L61" s="25"/>
      <c r="M61" s="25"/>
      <c r="N61" s="25"/>
      <c r="O61" s="25">
        <f t="shared" ca="1" si="8"/>
        <v>-3.8756721108883729E-2</v>
      </c>
      <c r="P61" s="25"/>
      <c r="Q61" s="26">
        <f t="shared" si="9"/>
        <v>33231.872000000003</v>
      </c>
      <c r="R61" s="26"/>
      <c r="S61" s="26"/>
      <c r="T61" s="26"/>
      <c r="U61" s="27">
        <v>-0.64473699999507517</v>
      </c>
      <c r="AE61" t="s">
        <v>35</v>
      </c>
      <c r="AF61" t="s">
        <v>47</v>
      </c>
      <c r="AH61" t="s">
        <v>48</v>
      </c>
      <c r="AJ61" t="s">
        <v>42</v>
      </c>
    </row>
    <row r="62" spans="1:36" x14ac:dyDescent="0.2">
      <c r="A62" s="29" t="s">
        <v>50</v>
      </c>
      <c r="B62" s="29"/>
      <c r="C62" s="30">
        <v>48560.364999999998</v>
      </c>
      <c r="D62" s="30"/>
      <c r="E62" s="25">
        <f t="shared" si="6"/>
        <v>5167.9908222628865</v>
      </c>
      <c r="F62" s="25">
        <f t="shared" si="7"/>
        <v>5168</v>
      </c>
      <c r="G62" s="25">
        <f t="shared" ref="G62:G71" si="10">+C62-(C$7+F62*C$8)</f>
        <v>-4.0855999999621417E-2</v>
      </c>
      <c r="H62" s="25"/>
      <c r="I62" s="25">
        <f>+G62</f>
        <v>-4.0855999999621417E-2</v>
      </c>
      <c r="J62" s="25"/>
      <c r="K62" s="25"/>
      <c r="L62" s="25"/>
      <c r="M62" s="25"/>
      <c r="N62" s="25"/>
      <c r="O62" s="25">
        <f t="shared" ca="1" si="8"/>
        <v>-3.8521964309912601E-2</v>
      </c>
      <c r="P62" s="25"/>
      <c r="Q62" s="26">
        <f t="shared" si="9"/>
        <v>33541.864999999998</v>
      </c>
      <c r="R62" s="26"/>
      <c r="S62" s="26"/>
      <c r="T62" s="26"/>
      <c r="U62" s="25"/>
      <c r="AD62" t="s">
        <v>30</v>
      </c>
      <c r="AE62" t="s">
        <v>35</v>
      </c>
      <c r="AF62" t="s">
        <v>46</v>
      </c>
      <c r="AJ62" t="s">
        <v>33</v>
      </c>
    </row>
    <row r="63" spans="1:36" x14ac:dyDescent="0.2">
      <c r="A63" s="29" t="s">
        <v>50</v>
      </c>
      <c r="B63" s="29"/>
      <c r="C63" s="30">
        <v>48560.368000000002</v>
      </c>
      <c r="D63" s="30"/>
      <c r="E63" s="25">
        <f t="shared" ref="E63:E71" si="11">+(C63-C$7)/C$8</f>
        <v>5167.9914961715258</v>
      </c>
      <c r="F63" s="25">
        <f t="shared" ref="F63:F71" si="12">ROUND(2*E63,0)/2</f>
        <v>5168</v>
      </c>
      <c r="G63" s="25">
        <f t="shared" si="10"/>
        <v>-3.7855999995372258E-2</v>
      </c>
      <c r="H63" s="25"/>
      <c r="I63" s="25">
        <f>+G63</f>
        <v>-3.7855999995372258E-2</v>
      </c>
      <c r="J63" s="25"/>
      <c r="K63" s="25"/>
      <c r="L63" s="25"/>
      <c r="M63" s="25"/>
      <c r="N63" s="25"/>
      <c r="O63" s="25">
        <f t="shared" ref="O63:O71" ca="1" si="13">+C$11+C$12*F63</f>
        <v>-3.8521964309912601E-2</v>
      </c>
      <c r="P63" s="25"/>
      <c r="Q63" s="26">
        <f t="shared" ref="Q63:Q71" si="14">+C63-15018.5</f>
        <v>33541.868000000002</v>
      </c>
      <c r="R63" s="26"/>
      <c r="S63" s="26"/>
      <c r="T63" s="26"/>
      <c r="U63" s="25"/>
      <c r="AD63" t="s">
        <v>30</v>
      </c>
      <c r="AE63" t="s">
        <v>35</v>
      </c>
      <c r="AF63" t="s">
        <v>42</v>
      </c>
      <c r="AJ63" t="s">
        <v>33</v>
      </c>
    </row>
    <row r="64" spans="1:36" x14ac:dyDescent="0.2">
      <c r="A64" s="35" t="s">
        <v>67</v>
      </c>
      <c r="B64" s="36" t="s">
        <v>52</v>
      </c>
      <c r="C64" s="37">
        <v>50425.610999999997</v>
      </c>
      <c r="D64" s="30"/>
      <c r="E64" s="25">
        <f t="shared" si="11"/>
        <v>5586.992619801862</v>
      </c>
      <c r="F64" s="25">
        <f t="shared" si="12"/>
        <v>5587</v>
      </c>
      <c r="G64" s="25">
        <f t="shared" si="10"/>
        <v>-3.2853999997314531E-2</v>
      </c>
      <c r="H64" s="25"/>
      <c r="I64" s="25">
        <f>+G64</f>
        <v>-3.2853999997314531E-2</v>
      </c>
      <c r="J64" s="25"/>
      <c r="K64" s="25"/>
      <c r="L64" s="25"/>
      <c r="M64" s="25"/>
      <c r="O64" s="25">
        <f t="shared" ca="1" si="13"/>
        <v>-3.7106667924748551E-2</v>
      </c>
      <c r="P64" s="25"/>
      <c r="Q64" s="26">
        <f t="shared" si="14"/>
        <v>35407.110999999997</v>
      </c>
      <c r="R64" s="26"/>
      <c r="S64" s="26"/>
      <c r="T64" s="26"/>
      <c r="U64" s="25"/>
    </row>
    <row r="65" spans="1:21" x14ac:dyDescent="0.2">
      <c r="A65" s="31" t="s">
        <v>55</v>
      </c>
      <c r="B65" s="32"/>
      <c r="C65" s="30">
        <v>53764.34</v>
      </c>
      <c r="D65" s="30">
        <v>8.0000000000000002E-3</v>
      </c>
      <c r="E65" s="25">
        <f t="shared" si="11"/>
        <v>6336.9920582113291</v>
      </c>
      <c r="F65" s="25">
        <f t="shared" si="12"/>
        <v>6337</v>
      </c>
      <c r="G65" s="25">
        <f t="shared" si="10"/>
        <v>-3.5353999999642838E-2</v>
      </c>
      <c r="H65" s="25"/>
      <c r="J65" s="25">
        <f>+G65</f>
        <v>-3.5353999999642838E-2</v>
      </c>
      <c r="K65" s="25"/>
      <c r="L65" s="25"/>
      <c r="M65" s="25"/>
      <c r="N65" s="25"/>
      <c r="O65" s="25">
        <f t="shared" ca="1" si="13"/>
        <v>-3.4573321173261576E-2</v>
      </c>
      <c r="P65" s="25"/>
      <c r="Q65" s="26">
        <f t="shared" si="14"/>
        <v>38745.839999999997</v>
      </c>
      <c r="R65" s="26"/>
      <c r="S65" s="26"/>
      <c r="T65" s="26"/>
      <c r="U65" s="25"/>
    </row>
    <row r="66" spans="1:21" x14ac:dyDescent="0.2">
      <c r="A66" s="31" t="s">
        <v>62</v>
      </c>
      <c r="B66" s="33" t="s">
        <v>52</v>
      </c>
      <c r="C66" s="30">
        <v>54810.471310000001</v>
      </c>
      <c r="D66" s="30">
        <v>2.9999999999999997E-4</v>
      </c>
      <c r="E66" s="25">
        <f t="shared" si="11"/>
        <v>6571.9910338701993</v>
      </c>
      <c r="F66" s="25">
        <f t="shared" si="12"/>
        <v>6572</v>
      </c>
      <c r="G66" s="25">
        <f t="shared" si="10"/>
        <v>-3.991400000086287E-2</v>
      </c>
      <c r="H66" s="25"/>
      <c r="J66" s="25">
        <f>+G66</f>
        <v>-3.991400000086287E-2</v>
      </c>
      <c r="K66" s="25"/>
      <c r="L66" s="25"/>
      <c r="M66" s="25"/>
      <c r="O66" s="25">
        <f t="shared" ca="1" si="13"/>
        <v>-3.3779539191128999E-2</v>
      </c>
      <c r="P66" s="25"/>
      <c r="Q66" s="26">
        <f t="shared" si="14"/>
        <v>39791.971310000001</v>
      </c>
      <c r="R66" s="26"/>
      <c r="S66" s="26"/>
      <c r="T66" s="26"/>
      <c r="U66" s="25"/>
    </row>
    <row r="67" spans="1:21" x14ac:dyDescent="0.2">
      <c r="A67" s="54" t="s">
        <v>244</v>
      </c>
      <c r="B67" s="55" t="s">
        <v>52</v>
      </c>
      <c r="C67" s="54">
        <v>55883.327100000002</v>
      </c>
      <c r="D67" s="54" t="s">
        <v>77</v>
      </c>
      <c r="E67" s="25">
        <f t="shared" si="11"/>
        <v>6812.993295507591</v>
      </c>
      <c r="F67" s="25">
        <f t="shared" si="12"/>
        <v>6813</v>
      </c>
      <c r="G67" s="25">
        <f t="shared" si="10"/>
        <v>-2.9845999997633044E-2</v>
      </c>
      <c r="H67" s="25"/>
      <c r="I67" s="25"/>
      <c r="J67" s="25"/>
      <c r="K67" s="25">
        <f>+G67</f>
        <v>-2.9845999997633044E-2</v>
      </c>
      <c r="L67" s="25"/>
      <c r="M67" s="25"/>
      <c r="N67" s="25"/>
      <c r="O67" s="25">
        <f t="shared" ca="1" si="13"/>
        <v>-3.2965490434984521E-2</v>
      </c>
      <c r="P67" s="25"/>
      <c r="Q67" s="26">
        <f t="shared" si="14"/>
        <v>40864.827100000002</v>
      </c>
      <c r="R67" s="26"/>
      <c r="S67" s="26"/>
      <c r="T67" s="26"/>
    </row>
    <row r="68" spans="1:21" x14ac:dyDescent="0.2">
      <c r="A68" s="37" t="s">
        <v>66</v>
      </c>
      <c r="B68" s="36" t="s">
        <v>52</v>
      </c>
      <c r="C68" s="37">
        <v>56199.391009999999</v>
      </c>
      <c r="D68" s="37">
        <v>1.6199999999999999E-3</v>
      </c>
      <c r="E68" s="25">
        <f t="shared" si="11"/>
        <v>6883.9926952796295</v>
      </c>
      <c r="F68" s="25">
        <f t="shared" si="12"/>
        <v>6884</v>
      </c>
      <c r="G68" s="25">
        <f t="shared" si="10"/>
        <v>-3.2517999999981839E-2</v>
      </c>
      <c r="H68" s="25"/>
      <c r="I68" s="25"/>
      <c r="K68" s="25">
        <f>+G68</f>
        <v>-3.2517999999981839E-2</v>
      </c>
      <c r="L68" s="25"/>
      <c r="M68" s="25"/>
      <c r="N68" s="25"/>
      <c r="O68" s="25">
        <f t="shared" ca="1" si="13"/>
        <v>-3.2725666942510417E-2</v>
      </c>
      <c r="P68" s="25"/>
      <c r="Q68" s="26">
        <f t="shared" si="14"/>
        <v>41180.891009999999</v>
      </c>
      <c r="R68" s="26"/>
      <c r="S68" s="26"/>
      <c r="T68" s="26"/>
      <c r="U68" s="25"/>
    </row>
    <row r="69" spans="1:21" x14ac:dyDescent="0.2">
      <c r="A69" s="39" t="s">
        <v>68</v>
      </c>
      <c r="B69" s="38"/>
      <c r="C69" s="39">
        <v>56978.4254</v>
      </c>
      <c r="D69" s="39">
        <v>1.52E-2</v>
      </c>
      <c r="E69" s="25">
        <f t="shared" si="11"/>
        <v>7058.9920303564395</v>
      </c>
      <c r="F69" s="25">
        <f t="shared" si="12"/>
        <v>7059</v>
      </c>
      <c r="G69" s="25">
        <f t="shared" si="10"/>
        <v>-3.5477999997965526E-2</v>
      </c>
      <c r="H69" s="25"/>
      <c r="I69" s="25"/>
      <c r="J69" s="25">
        <f>+G69</f>
        <v>-3.5477999997965526E-2</v>
      </c>
      <c r="K69" s="25"/>
      <c r="L69" s="25"/>
      <c r="M69" s="25"/>
      <c r="N69" s="25"/>
      <c r="O69" s="25">
        <f t="shared" ca="1" si="13"/>
        <v>-3.2134552700496789E-2</v>
      </c>
      <c r="P69" s="25"/>
      <c r="Q69" s="26">
        <f t="shared" si="14"/>
        <v>41959.9254</v>
      </c>
      <c r="R69" s="26"/>
      <c r="S69" s="26"/>
      <c r="T69" s="26"/>
      <c r="U69" s="25"/>
    </row>
    <row r="70" spans="1:21" x14ac:dyDescent="0.2">
      <c r="A70" s="56" t="s">
        <v>1</v>
      </c>
      <c r="B70" s="57" t="s">
        <v>52</v>
      </c>
      <c r="C70" s="58">
        <v>57343.468000000001</v>
      </c>
      <c r="D70" s="59">
        <v>8.0000000000000002E-3</v>
      </c>
      <c r="E70" s="25">
        <f t="shared" si="11"/>
        <v>7140.9938175621501</v>
      </c>
      <c r="F70" s="25">
        <f t="shared" si="12"/>
        <v>7141</v>
      </c>
      <c r="G70" s="25">
        <f t="shared" si="10"/>
        <v>-2.7521999996679369E-2</v>
      </c>
      <c r="H70" s="25"/>
      <c r="I70" s="25">
        <f>+G70</f>
        <v>-2.7521999996679369E-2</v>
      </c>
      <c r="K70" s="25"/>
      <c r="L70" s="25"/>
      <c r="M70" s="25"/>
      <c r="N70" s="25"/>
      <c r="O70" s="25">
        <f t="shared" ca="1" si="13"/>
        <v>-3.1857573455667546E-2</v>
      </c>
      <c r="P70" s="25"/>
      <c r="Q70" s="26">
        <f t="shared" si="14"/>
        <v>42324.968000000001</v>
      </c>
    </row>
    <row r="71" spans="1:21" x14ac:dyDescent="0.2">
      <c r="A71" s="62" t="s">
        <v>0</v>
      </c>
      <c r="B71" s="60" t="s">
        <v>52</v>
      </c>
      <c r="C71" s="61">
        <v>58042.372000000003</v>
      </c>
      <c r="D71" s="61">
        <v>0.01</v>
      </c>
      <c r="E71" s="25">
        <f t="shared" si="11"/>
        <v>7297.9929652923583</v>
      </c>
      <c r="F71" s="25">
        <f t="shared" si="12"/>
        <v>7298</v>
      </c>
      <c r="G71" s="25">
        <f t="shared" si="10"/>
        <v>-3.1315999993239529E-2</v>
      </c>
      <c r="H71" s="25"/>
      <c r="I71" s="25">
        <f>+G71</f>
        <v>-3.1315999993239529E-2</v>
      </c>
      <c r="K71" s="25"/>
      <c r="L71" s="25"/>
      <c r="M71" s="25"/>
      <c r="N71" s="25"/>
      <c r="O71" s="25">
        <f t="shared" ca="1" si="13"/>
        <v>-3.1327259535689614E-2</v>
      </c>
      <c r="P71" s="25"/>
      <c r="Q71" s="26">
        <f t="shared" si="14"/>
        <v>43023.872000000003</v>
      </c>
    </row>
    <row r="72" spans="1:21" x14ac:dyDescent="0.2">
      <c r="B72" s="11"/>
    </row>
    <row r="73" spans="1:21" x14ac:dyDescent="0.2">
      <c r="B73" s="11"/>
    </row>
    <row r="74" spans="1:21" x14ac:dyDescent="0.2">
      <c r="B74" s="11"/>
    </row>
    <row r="75" spans="1:21" x14ac:dyDescent="0.2">
      <c r="B75" s="11"/>
    </row>
    <row r="76" spans="1:21" x14ac:dyDescent="0.2">
      <c r="B76" s="11"/>
    </row>
    <row r="77" spans="1:21" x14ac:dyDescent="0.2">
      <c r="B77" s="11"/>
    </row>
    <row r="78" spans="1:21" x14ac:dyDescent="0.2">
      <c r="B78" s="11"/>
    </row>
    <row r="79" spans="1:21" x14ac:dyDescent="0.2">
      <c r="B79" s="11"/>
    </row>
    <row r="80" spans="1:21" x14ac:dyDescent="0.2">
      <c r="B80" s="11"/>
    </row>
    <row r="81" spans="2:2" x14ac:dyDescent="0.2">
      <c r="B81" s="11"/>
    </row>
  </sheetData>
  <phoneticPr fontId="7" type="noConversion"/>
  <hyperlinks>
    <hyperlink ref="H2303" r:id="rId1" display="http://vsolj.cetus-net.org/bulletin.html"/>
    <hyperlink ref="H64623" r:id="rId2" display="http://vsolj.cetus-net.org/bulletin.html"/>
    <hyperlink ref="H64616" r:id="rId3" display="https://www.aavso.org/ejaavso"/>
    <hyperlink ref="AP1474" r:id="rId4" display="http://cdsbib.u-strasbg.fr/cgi-bin/cdsbib?1990RMxAA..21..381G"/>
    <hyperlink ref="AP1471" r:id="rId5" display="http://cdsbib.u-strasbg.fr/cgi-bin/cdsbib?1990RMxAA..21..381G"/>
    <hyperlink ref="AP1473" r:id="rId6" display="http://cdsbib.u-strasbg.fr/cgi-bin/cdsbib?1990RMxAA..21..381G"/>
    <hyperlink ref="AP1449" r:id="rId7" display="http://cdsbib.u-strasbg.fr/cgi-bin/cdsbib?1990RMxAA..21..381G"/>
    <hyperlink ref="I64623" r:id="rId8" display="http://vsolj.cetus-net.org/bulletin.html"/>
    <hyperlink ref="AQ1610" r:id="rId9" display="http://cdsbib.u-strasbg.fr/cgi-bin/cdsbib?1990RMxAA..21..381G"/>
    <hyperlink ref="AQ3254" r:id="rId10" display="http://cdsbib.u-strasbg.fr/cgi-bin/cdsbib?1990RMxAA..21..381G"/>
    <hyperlink ref="AQ1611" r:id="rId11" display="http://cdsbib.u-strasbg.fr/cgi-bin/cdsbib?1990RMxAA..21..381G"/>
    <hyperlink ref="H64620" r:id="rId12" display="https://www.aavso.org/ejaavso"/>
    <hyperlink ref="H2461" r:id="rId13" display="http://vsolj.cetus-net.org/bulletin.html"/>
    <hyperlink ref="AP5699" r:id="rId14" display="http://cdsbib.u-strasbg.fr/cgi-bin/cdsbib?1990RMxAA..21..381G"/>
    <hyperlink ref="AP5702" r:id="rId15" display="http://cdsbib.u-strasbg.fr/cgi-bin/cdsbib?1990RMxAA..21..381G"/>
    <hyperlink ref="AP5700" r:id="rId16" display="http://cdsbib.u-strasbg.fr/cgi-bin/cdsbib?1990RMxAA..21..381G"/>
    <hyperlink ref="AP5678" r:id="rId17" display="http://cdsbib.u-strasbg.fr/cgi-bin/cdsbib?1990RMxAA..21..381G"/>
    <hyperlink ref="I2461" r:id="rId18" display="http://vsolj.cetus-net.org/bulletin.html"/>
    <hyperlink ref="AQ5812" r:id="rId19" display="http://cdsbib.u-strasbg.fr/cgi-bin/cdsbib?1990RMxAA..21..381G"/>
    <hyperlink ref="AQ364" r:id="rId20" display="http://cdsbib.u-strasbg.fr/cgi-bin/cdsbib?1990RMxAA..21..381G"/>
    <hyperlink ref="AQ5813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4"/>
  <sheetViews>
    <sheetView topLeftCell="A16" workbookViewId="0">
      <selection activeCell="A26" sqref="A26:D55"/>
    </sheetView>
  </sheetViews>
  <sheetFormatPr defaultRowHeight="12.75" x14ac:dyDescent="0.2"/>
  <cols>
    <col min="1" max="1" width="19.7109375" style="41" customWidth="1"/>
    <col min="2" max="2" width="4.42578125" style="7" customWidth="1"/>
    <col min="3" max="3" width="12.7109375" style="41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41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40" t="s">
        <v>69</v>
      </c>
      <c r="I1" s="42" t="s">
        <v>70</v>
      </c>
      <c r="J1" s="43" t="s">
        <v>71</v>
      </c>
    </row>
    <row r="2" spans="1:16" x14ac:dyDescent="0.2">
      <c r="I2" s="44" t="s">
        <v>72</v>
      </c>
      <c r="J2" s="45" t="s">
        <v>73</v>
      </c>
    </row>
    <row r="3" spans="1:16" x14ac:dyDescent="0.2">
      <c r="A3" s="46" t="s">
        <v>74</v>
      </c>
      <c r="I3" s="44" t="s">
        <v>75</v>
      </c>
      <c r="J3" s="45" t="s">
        <v>37</v>
      </c>
    </row>
    <row r="4" spans="1:16" x14ac:dyDescent="0.2">
      <c r="I4" s="44" t="s">
        <v>76</v>
      </c>
      <c r="J4" s="45" t="s">
        <v>37</v>
      </c>
    </row>
    <row r="5" spans="1:16" ht="13.5" thickBot="1" x14ac:dyDescent="0.25">
      <c r="I5" s="47" t="s">
        <v>46</v>
      </c>
      <c r="J5" s="48" t="s">
        <v>77</v>
      </c>
    </row>
    <row r="10" spans="1:16" ht="13.5" thickBot="1" x14ac:dyDescent="0.25"/>
    <row r="11" spans="1:16" ht="12.75" customHeight="1" thickBot="1" x14ac:dyDescent="0.25">
      <c r="A11" s="41" t="str">
        <f t="shared" ref="A11:A55" si="0">P11</f>
        <v>BAVM 34 </v>
      </c>
      <c r="B11" s="11" t="str">
        <f t="shared" ref="B11:B55" si="1">IF(H11=INT(H11),"I","II")</f>
        <v>I</v>
      </c>
      <c r="C11" s="41">
        <f t="shared" ref="C11:C55" si="2">1*G11</f>
        <v>45021.24</v>
      </c>
      <c r="D11" s="7" t="str">
        <f t="shared" ref="D11:D55" si="3">VLOOKUP(F11,I$1:J$5,2,FALSE)</f>
        <v>vis</v>
      </c>
      <c r="E11" s="49">
        <f>VLOOKUP(C11,Active!C$21:E$971,3,FALSE)</f>
        <v>4372.9751853361076</v>
      </c>
      <c r="F11" s="11" t="s">
        <v>46</v>
      </c>
      <c r="G11" s="7" t="str">
        <f t="shared" ref="G11:G55" si="4">MID(I11,3,LEN(I11)-3)</f>
        <v>45021.240</v>
      </c>
      <c r="H11" s="41">
        <f t="shared" ref="H11:H55" si="5">1*K11</f>
        <v>4373</v>
      </c>
      <c r="I11" s="50" t="s">
        <v>163</v>
      </c>
      <c r="J11" s="51" t="s">
        <v>164</v>
      </c>
      <c r="K11" s="50">
        <v>4373</v>
      </c>
      <c r="L11" s="50" t="s">
        <v>165</v>
      </c>
      <c r="M11" s="51" t="s">
        <v>160</v>
      </c>
      <c r="N11" s="51"/>
      <c r="O11" s="52" t="s">
        <v>166</v>
      </c>
      <c r="P11" s="53" t="s">
        <v>167</v>
      </c>
    </row>
    <row r="12" spans="1:16" ht="12.75" customHeight="1" thickBot="1" x14ac:dyDescent="0.25">
      <c r="A12" s="41" t="str">
        <f t="shared" si="0"/>
        <v>IBVS 2944 </v>
      </c>
      <c r="B12" s="11" t="str">
        <f t="shared" si="1"/>
        <v>II</v>
      </c>
      <c r="C12" s="41">
        <f t="shared" si="2"/>
        <v>45326.243699999999</v>
      </c>
      <c r="D12" s="7" t="str">
        <f t="shared" si="3"/>
        <v>vis</v>
      </c>
      <c r="E12" s="49">
        <f>VLOOKUP(C12,Active!C$21:E$971,3,FALSE)</f>
        <v>4441.4900614200333</v>
      </c>
      <c r="F12" s="11" t="s">
        <v>46</v>
      </c>
      <c r="G12" s="7" t="str">
        <f t="shared" si="4"/>
        <v>45326.2437</v>
      </c>
      <c r="H12" s="41">
        <f t="shared" si="5"/>
        <v>4441.5</v>
      </c>
      <c r="I12" s="50" t="s">
        <v>168</v>
      </c>
      <c r="J12" s="51" t="s">
        <v>169</v>
      </c>
      <c r="K12" s="50">
        <v>4441.5</v>
      </c>
      <c r="L12" s="50" t="s">
        <v>170</v>
      </c>
      <c r="M12" s="51" t="s">
        <v>171</v>
      </c>
      <c r="N12" s="51" t="s">
        <v>172</v>
      </c>
      <c r="O12" s="52" t="s">
        <v>173</v>
      </c>
      <c r="P12" s="53" t="s">
        <v>174</v>
      </c>
    </row>
    <row r="13" spans="1:16" ht="12.75" customHeight="1" thickBot="1" x14ac:dyDescent="0.25">
      <c r="A13" s="41" t="str">
        <f t="shared" si="0"/>
        <v>IBVS 2944 </v>
      </c>
      <c r="B13" s="11" t="str">
        <f t="shared" si="1"/>
        <v>I</v>
      </c>
      <c r="C13" s="41">
        <f t="shared" si="2"/>
        <v>45386.340900000003</v>
      </c>
      <c r="D13" s="7" t="str">
        <f t="shared" si="3"/>
        <v>vis</v>
      </c>
      <c r="E13" s="49">
        <f>VLOOKUP(C13,Active!C$21:E$971,3,FALSE)</f>
        <v>4454.990068833029</v>
      </c>
      <c r="F13" s="11" t="s">
        <v>46</v>
      </c>
      <c r="G13" s="7" t="str">
        <f t="shared" si="4"/>
        <v>45386.3409</v>
      </c>
      <c r="H13" s="41">
        <f t="shared" si="5"/>
        <v>4455</v>
      </c>
      <c r="I13" s="50" t="s">
        <v>175</v>
      </c>
      <c r="J13" s="51" t="s">
        <v>176</v>
      </c>
      <c r="K13" s="50">
        <v>4455</v>
      </c>
      <c r="L13" s="50" t="s">
        <v>170</v>
      </c>
      <c r="M13" s="51" t="s">
        <v>171</v>
      </c>
      <c r="N13" s="51" t="s">
        <v>172</v>
      </c>
      <c r="O13" s="52" t="s">
        <v>173</v>
      </c>
      <c r="P13" s="53" t="s">
        <v>174</v>
      </c>
    </row>
    <row r="14" spans="1:16" ht="12.75" customHeight="1" thickBot="1" x14ac:dyDescent="0.25">
      <c r="A14" s="41" t="str">
        <f t="shared" si="0"/>
        <v>IBVS 2944 </v>
      </c>
      <c r="B14" s="11" t="str">
        <f t="shared" si="1"/>
        <v>I</v>
      </c>
      <c r="C14" s="41">
        <f t="shared" si="2"/>
        <v>45435.308900000004</v>
      </c>
      <c r="D14" s="7" t="str">
        <f t="shared" si="3"/>
        <v>vis</v>
      </c>
      <c r="E14" s="49">
        <f>VLOOKUP(C14,Active!C$21:E$971,3,FALSE)</f>
        <v>4465.9900549055847</v>
      </c>
      <c r="F14" s="11" t="s">
        <v>46</v>
      </c>
      <c r="G14" s="7" t="str">
        <f t="shared" si="4"/>
        <v>45435.3089</v>
      </c>
      <c r="H14" s="41">
        <f t="shared" si="5"/>
        <v>4466</v>
      </c>
      <c r="I14" s="50" t="s">
        <v>177</v>
      </c>
      <c r="J14" s="51" t="s">
        <v>178</v>
      </c>
      <c r="K14" s="50">
        <v>4466</v>
      </c>
      <c r="L14" s="50" t="s">
        <v>179</v>
      </c>
      <c r="M14" s="51" t="s">
        <v>171</v>
      </c>
      <c r="N14" s="51" t="s">
        <v>172</v>
      </c>
      <c r="O14" s="52" t="s">
        <v>173</v>
      </c>
      <c r="P14" s="53" t="s">
        <v>174</v>
      </c>
    </row>
    <row r="15" spans="1:16" ht="12.75" customHeight="1" thickBot="1" x14ac:dyDescent="0.25">
      <c r="A15" s="41" t="str">
        <f t="shared" si="0"/>
        <v>BAVM 38 </v>
      </c>
      <c r="B15" s="11" t="str">
        <f t="shared" si="1"/>
        <v>I</v>
      </c>
      <c r="C15" s="41">
        <f t="shared" si="2"/>
        <v>45653.453000000001</v>
      </c>
      <c r="D15" s="7" t="str">
        <f t="shared" si="3"/>
        <v>vis</v>
      </c>
      <c r="E15" s="49">
        <f>VLOOKUP(C15,Active!C$21:E$971,3,FALSE)</f>
        <v>4514.9931193927996</v>
      </c>
      <c r="F15" s="11" t="s">
        <v>46</v>
      </c>
      <c r="G15" s="7" t="str">
        <f t="shared" si="4"/>
        <v>45653.453</v>
      </c>
      <c r="H15" s="41">
        <f t="shared" si="5"/>
        <v>4515</v>
      </c>
      <c r="I15" s="50" t="s">
        <v>180</v>
      </c>
      <c r="J15" s="51" t="s">
        <v>181</v>
      </c>
      <c r="K15" s="50">
        <v>4515</v>
      </c>
      <c r="L15" s="50" t="s">
        <v>182</v>
      </c>
      <c r="M15" s="51" t="s">
        <v>79</v>
      </c>
      <c r="N15" s="51"/>
      <c r="O15" s="52" t="s">
        <v>183</v>
      </c>
      <c r="P15" s="53" t="s">
        <v>184</v>
      </c>
    </row>
    <row r="16" spans="1:16" ht="12.75" customHeight="1" thickBot="1" x14ac:dyDescent="0.25">
      <c r="A16" s="41" t="str">
        <f t="shared" si="0"/>
        <v>BAVM 39 </v>
      </c>
      <c r="B16" s="11" t="str">
        <f t="shared" si="1"/>
        <v>I</v>
      </c>
      <c r="C16" s="41">
        <f t="shared" si="2"/>
        <v>45987.345999999998</v>
      </c>
      <c r="D16" s="7" t="str">
        <f t="shared" si="3"/>
        <v>vis</v>
      </c>
      <c r="E16" s="49">
        <f>VLOOKUP(C16,Active!C$21:E$971,3,FALSE)</f>
        <v>4589.9975784216249</v>
      </c>
      <c r="F16" s="11" t="s">
        <v>46</v>
      </c>
      <c r="G16" s="7" t="str">
        <f t="shared" si="4"/>
        <v>45987.346</v>
      </c>
      <c r="H16" s="41">
        <f t="shared" si="5"/>
        <v>4590</v>
      </c>
      <c r="I16" s="50" t="s">
        <v>185</v>
      </c>
      <c r="J16" s="51" t="s">
        <v>186</v>
      </c>
      <c r="K16" s="50">
        <v>4590</v>
      </c>
      <c r="L16" s="50" t="s">
        <v>117</v>
      </c>
      <c r="M16" s="51" t="s">
        <v>79</v>
      </c>
      <c r="N16" s="51"/>
      <c r="O16" s="52" t="s">
        <v>183</v>
      </c>
      <c r="P16" s="53" t="s">
        <v>187</v>
      </c>
    </row>
    <row r="17" spans="1:16" ht="12.75" customHeight="1" thickBot="1" x14ac:dyDescent="0.25">
      <c r="A17" s="41" t="str">
        <f t="shared" si="0"/>
        <v> BBS 76 </v>
      </c>
      <c r="B17" s="11" t="str">
        <f t="shared" si="1"/>
        <v>I</v>
      </c>
      <c r="C17" s="41">
        <f t="shared" si="2"/>
        <v>46116.356</v>
      </c>
      <c r="D17" s="7" t="str">
        <f t="shared" si="3"/>
        <v>vis</v>
      </c>
      <c r="E17" s="49">
        <f>VLOOKUP(C17,Active!C$21:E$971,3,FALSE)</f>
        <v>4618.977896245925</v>
      </c>
      <c r="F17" s="11" t="s">
        <v>46</v>
      </c>
      <c r="G17" s="7" t="str">
        <f t="shared" si="4"/>
        <v>46116.356</v>
      </c>
      <c r="H17" s="41">
        <f t="shared" si="5"/>
        <v>4619</v>
      </c>
      <c r="I17" s="50" t="s">
        <v>188</v>
      </c>
      <c r="J17" s="51" t="s">
        <v>189</v>
      </c>
      <c r="K17" s="50">
        <v>4619</v>
      </c>
      <c r="L17" s="50" t="s">
        <v>190</v>
      </c>
      <c r="M17" s="51" t="s">
        <v>171</v>
      </c>
      <c r="N17" s="51" t="s">
        <v>172</v>
      </c>
      <c r="O17" s="52" t="s">
        <v>191</v>
      </c>
      <c r="P17" s="52" t="s">
        <v>192</v>
      </c>
    </row>
    <row r="18" spans="1:16" ht="12.75" customHeight="1" thickBot="1" x14ac:dyDescent="0.25">
      <c r="A18" s="41" t="str">
        <f t="shared" si="0"/>
        <v> VSSC 66.35 </v>
      </c>
      <c r="B18" s="11" t="str">
        <f t="shared" si="1"/>
        <v>I</v>
      </c>
      <c r="C18" s="41">
        <f t="shared" si="2"/>
        <v>46352.327799999999</v>
      </c>
      <c r="D18" s="7" t="str">
        <f t="shared" si="3"/>
        <v>vis</v>
      </c>
      <c r="E18" s="49">
        <f>VLOOKUP(C18,Active!C$21:E$971,3,FALSE)</f>
        <v>4671.9857077455918</v>
      </c>
      <c r="F18" s="11" t="s">
        <v>46</v>
      </c>
      <c r="G18" s="7" t="str">
        <f t="shared" si="4"/>
        <v>46352.3278</v>
      </c>
      <c r="H18" s="41">
        <f t="shared" si="5"/>
        <v>4672</v>
      </c>
      <c r="I18" s="50" t="s">
        <v>193</v>
      </c>
      <c r="J18" s="51" t="s">
        <v>194</v>
      </c>
      <c r="K18" s="50">
        <v>4672</v>
      </c>
      <c r="L18" s="50" t="s">
        <v>195</v>
      </c>
      <c r="M18" s="51" t="s">
        <v>171</v>
      </c>
      <c r="N18" s="51" t="s">
        <v>172</v>
      </c>
      <c r="O18" s="52" t="s">
        <v>196</v>
      </c>
      <c r="P18" s="52" t="s">
        <v>197</v>
      </c>
    </row>
    <row r="19" spans="1:16" ht="12.75" customHeight="1" thickBot="1" x14ac:dyDescent="0.25">
      <c r="A19" s="41" t="str">
        <f t="shared" si="0"/>
        <v> BBS 105 </v>
      </c>
      <c r="B19" s="11" t="str">
        <f t="shared" si="1"/>
        <v>II</v>
      </c>
      <c r="C19" s="41">
        <f t="shared" si="2"/>
        <v>48250.372000000003</v>
      </c>
      <c r="D19" s="7" t="str">
        <f t="shared" si="3"/>
        <v>vis</v>
      </c>
      <c r="E19" s="49">
        <f>VLOOKUP(C19,Active!C$21:E$971,3,FALSE)</f>
        <v>5098.3551687220142</v>
      </c>
      <c r="F19" s="11" t="s">
        <v>46</v>
      </c>
      <c r="G19" s="7" t="str">
        <f t="shared" si="4"/>
        <v>48250.372</v>
      </c>
      <c r="H19" s="41">
        <f t="shared" si="5"/>
        <v>5098.5</v>
      </c>
      <c r="I19" s="50" t="s">
        <v>209</v>
      </c>
      <c r="J19" s="51" t="s">
        <v>210</v>
      </c>
      <c r="K19" s="50">
        <v>5098.5</v>
      </c>
      <c r="L19" s="50" t="s">
        <v>211</v>
      </c>
      <c r="M19" s="51" t="s">
        <v>171</v>
      </c>
      <c r="N19" s="51" t="s">
        <v>42</v>
      </c>
      <c r="O19" s="52" t="s">
        <v>212</v>
      </c>
      <c r="P19" s="52" t="s">
        <v>213</v>
      </c>
    </row>
    <row r="20" spans="1:16" ht="12.75" customHeight="1" thickBot="1" x14ac:dyDescent="0.25">
      <c r="A20" s="41" t="str">
        <f t="shared" si="0"/>
        <v>BAVM 60 </v>
      </c>
      <c r="B20" s="11" t="str">
        <f t="shared" si="1"/>
        <v>I</v>
      </c>
      <c r="C20" s="41">
        <f t="shared" si="2"/>
        <v>48560.364999999998</v>
      </c>
      <c r="D20" s="7" t="str">
        <f t="shared" si="3"/>
        <v>vis</v>
      </c>
      <c r="E20" s="49">
        <f>VLOOKUP(C20,Active!C$21:E$971,3,FALSE)</f>
        <v>5167.9908222628865</v>
      </c>
      <c r="F20" s="11" t="s">
        <v>46</v>
      </c>
      <c r="G20" s="7" t="str">
        <f t="shared" si="4"/>
        <v>48560.365</v>
      </c>
      <c r="H20" s="41">
        <f t="shared" si="5"/>
        <v>5168</v>
      </c>
      <c r="I20" s="50" t="s">
        <v>214</v>
      </c>
      <c r="J20" s="51" t="s">
        <v>215</v>
      </c>
      <c r="K20" s="50">
        <v>5168</v>
      </c>
      <c r="L20" s="50" t="s">
        <v>216</v>
      </c>
      <c r="M20" s="51" t="s">
        <v>171</v>
      </c>
      <c r="N20" s="51" t="s">
        <v>217</v>
      </c>
      <c r="O20" s="52" t="s">
        <v>202</v>
      </c>
      <c r="P20" s="53" t="s">
        <v>218</v>
      </c>
    </row>
    <row r="21" spans="1:16" ht="12.75" customHeight="1" thickBot="1" x14ac:dyDescent="0.25">
      <c r="A21" s="41" t="str">
        <f t="shared" si="0"/>
        <v>BAVM 60 </v>
      </c>
      <c r="B21" s="11" t="str">
        <f t="shared" si="1"/>
        <v>I</v>
      </c>
      <c r="C21" s="41">
        <f t="shared" si="2"/>
        <v>48560.368000000002</v>
      </c>
      <c r="D21" s="7" t="str">
        <f t="shared" si="3"/>
        <v>vis</v>
      </c>
      <c r="E21" s="49">
        <f>VLOOKUP(C21,Active!C$21:E$971,3,FALSE)</f>
        <v>5167.9914961715258</v>
      </c>
      <c r="F21" s="11" t="s">
        <v>46</v>
      </c>
      <c r="G21" s="7" t="str">
        <f t="shared" si="4"/>
        <v>48560.368</v>
      </c>
      <c r="H21" s="41">
        <f t="shared" si="5"/>
        <v>5168</v>
      </c>
      <c r="I21" s="50" t="s">
        <v>219</v>
      </c>
      <c r="J21" s="51" t="s">
        <v>220</v>
      </c>
      <c r="K21" s="50">
        <v>5168</v>
      </c>
      <c r="L21" s="50" t="s">
        <v>221</v>
      </c>
      <c r="M21" s="51" t="s">
        <v>171</v>
      </c>
      <c r="N21" s="51" t="s">
        <v>201</v>
      </c>
      <c r="O21" s="52" t="s">
        <v>202</v>
      </c>
      <c r="P21" s="53" t="s">
        <v>218</v>
      </c>
    </row>
    <row r="22" spans="1:16" ht="12.75" customHeight="1" thickBot="1" x14ac:dyDescent="0.25">
      <c r="A22" s="41" t="str">
        <f t="shared" si="0"/>
        <v> JAAVSO 41;122 </v>
      </c>
      <c r="B22" s="11" t="str">
        <f t="shared" si="1"/>
        <v>I</v>
      </c>
      <c r="C22" s="41">
        <f t="shared" si="2"/>
        <v>50425.610999999997</v>
      </c>
      <c r="D22" s="7" t="str">
        <f t="shared" si="3"/>
        <v>vis</v>
      </c>
      <c r="E22" s="49">
        <f>VLOOKUP(C22,Active!C$21:E$971,3,FALSE)</f>
        <v>5586.992619801862</v>
      </c>
      <c r="F22" s="11" t="s">
        <v>46</v>
      </c>
      <c r="G22" s="7" t="str">
        <f t="shared" si="4"/>
        <v>50425.611</v>
      </c>
      <c r="H22" s="41">
        <f t="shared" si="5"/>
        <v>5587</v>
      </c>
      <c r="I22" s="50" t="s">
        <v>222</v>
      </c>
      <c r="J22" s="51" t="s">
        <v>223</v>
      </c>
      <c r="K22" s="50">
        <v>5587</v>
      </c>
      <c r="L22" s="50" t="s">
        <v>224</v>
      </c>
      <c r="M22" s="51" t="s">
        <v>160</v>
      </c>
      <c r="N22" s="51"/>
      <c r="O22" s="52" t="s">
        <v>225</v>
      </c>
      <c r="P22" s="52" t="s">
        <v>226</v>
      </c>
    </row>
    <row r="23" spans="1:16" ht="12.75" customHeight="1" thickBot="1" x14ac:dyDescent="0.25">
      <c r="A23" s="41" t="str">
        <f t="shared" si="0"/>
        <v>BAVM 178 </v>
      </c>
      <c r="B23" s="11" t="str">
        <f t="shared" si="1"/>
        <v>I</v>
      </c>
      <c r="C23" s="41">
        <f t="shared" si="2"/>
        <v>53764.34</v>
      </c>
      <c r="D23" s="7" t="str">
        <f t="shared" si="3"/>
        <v>vis</v>
      </c>
      <c r="E23" s="49">
        <f>VLOOKUP(C23,Active!C$21:E$971,3,FALSE)</f>
        <v>6336.9920582113291</v>
      </c>
      <c r="F23" s="11" t="s">
        <v>46</v>
      </c>
      <c r="G23" s="7" t="str">
        <f t="shared" si="4"/>
        <v>53764.3400</v>
      </c>
      <c r="H23" s="41">
        <f t="shared" si="5"/>
        <v>6337</v>
      </c>
      <c r="I23" s="50" t="s">
        <v>227</v>
      </c>
      <c r="J23" s="51" t="s">
        <v>228</v>
      </c>
      <c r="K23" s="50">
        <v>6337</v>
      </c>
      <c r="L23" s="50" t="s">
        <v>229</v>
      </c>
      <c r="M23" s="51" t="s">
        <v>230</v>
      </c>
      <c r="N23" s="51" t="s">
        <v>231</v>
      </c>
      <c r="O23" s="52" t="s">
        <v>232</v>
      </c>
      <c r="P23" s="53" t="s">
        <v>233</v>
      </c>
    </row>
    <row r="24" spans="1:16" ht="12.75" customHeight="1" thickBot="1" x14ac:dyDescent="0.25">
      <c r="A24" s="41" t="str">
        <f t="shared" si="0"/>
        <v>IBVS 6114 </v>
      </c>
      <c r="B24" s="11" t="str">
        <f t="shared" si="1"/>
        <v>I</v>
      </c>
      <c r="C24" s="41">
        <f t="shared" si="2"/>
        <v>56199.391009999999</v>
      </c>
      <c r="D24" s="7" t="str">
        <f t="shared" si="3"/>
        <v>vis</v>
      </c>
      <c r="E24" s="49">
        <f>VLOOKUP(C24,Active!C$21:E$971,3,FALSE)</f>
        <v>6883.9926952796295</v>
      </c>
      <c r="F24" s="11" t="s">
        <v>46</v>
      </c>
      <c r="G24" s="7" t="str">
        <f t="shared" si="4"/>
        <v>56199.39101</v>
      </c>
      <c r="H24" s="41">
        <f t="shared" si="5"/>
        <v>6884</v>
      </c>
      <c r="I24" s="50" t="s">
        <v>245</v>
      </c>
      <c r="J24" s="51" t="s">
        <v>246</v>
      </c>
      <c r="K24" s="50" t="s">
        <v>247</v>
      </c>
      <c r="L24" s="50" t="s">
        <v>248</v>
      </c>
      <c r="M24" s="51" t="s">
        <v>230</v>
      </c>
      <c r="N24" s="51" t="s">
        <v>237</v>
      </c>
      <c r="O24" s="52" t="s">
        <v>249</v>
      </c>
      <c r="P24" s="53" t="s">
        <v>250</v>
      </c>
    </row>
    <row r="25" spans="1:16" ht="12.75" customHeight="1" thickBot="1" x14ac:dyDescent="0.25">
      <c r="A25" s="41" t="str">
        <f t="shared" si="0"/>
        <v>BAVM 239 </v>
      </c>
      <c r="B25" s="11" t="str">
        <f t="shared" si="1"/>
        <v>I</v>
      </c>
      <c r="C25" s="41">
        <f t="shared" si="2"/>
        <v>56978.4254</v>
      </c>
      <c r="D25" s="7" t="str">
        <f t="shared" si="3"/>
        <v>vis</v>
      </c>
      <c r="E25" s="49">
        <f>VLOOKUP(C25,Active!C$21:E$971,3,FALSE)</f>
        <v>7058.9920303564395</v>
      </c>
      <c r="F25" s="11" t="s">
        <v>46</v>
      </c>
      <c r="G25" s="7" t="str">
        <f t="shared" si="4"/>
        <v>56978.4254</v>
      </c>
      <c r="H25" s="41">
        <f t="shared" si="5"/>
        <v>7059</v>
      </c>
      <c r="I25" s="50" t="s">
        <v>251</v>
      </c>
      <c r="J25" s="51" t="s">
        <v>252</v>
      </c>
      <c r="K25" s="50" t="s">
        <v>253</v>
      </c>
      <c r="L25" s="50" t="s">
        <v>254</v>
      </c>
      <c r="M25" s="51" t="s">
        <v>230</v>
      </c>
      <c r="N25" s="51" t="s">
        <v>243</v>
      </c>
      <c r="O25" s="52" t="s">
        <v>202</v>
      </c>
      <c r="P25" s="53" t="s">
        <v>255</v>
      </c>
    </row>
    <row r="26" spans="1:16" ht="12.75" customHeight="1" thickBot="1" x14ac:dyDescent="0.25">
      <c r="A26" s="41" t="str">
        <f t="shared" si="0"/>
        <v> VB 5.3 </v>
      </c>
      <c r="B26" s="11" t="str">
        <f t="shared" si="1"/>
        <v>I</v>
      </c>
      <c r="C26" s="41">
        <f t="shared" si="2"/>
        <v>25554.291000000001</v>
      </c>
      <c r="D26" s="7" t="str">
        <f t="shared" si="3"/>
        <v>vis</v>
      </c>
      <c r="E26" s="49">
        <f>VLOOKUP(C26,Active!C$21:E$971,3,FALSE)</f>
        <v>-6.5144501733589814E-3</v>
      </c>
      <c r="F26" s="11" t="s">
        <v>46</v>
      </c>
      <c r="G26" s="7" t="str">
        <f t="shared" si="4"/>
        <v>25554.291</v>
      </c>
      <c r="H26" s="41">
        <f t="shared" si="5"/>
        <v>0</v>
      </c>
      <c r="I26" s="50" t="s">
        <v>80</v>
      </c>
      <c r="J26" s="51" t="s">
        <v>81</v>
      </c>
      <c r="K26" s="50">
        <v>0</v>
      </c>
      <c r="L26" s="50" t="s">
        <v>82</v>
      </c>
      <c r="M26" s="51" t="s">
        <v>83</v>
      </c>
      <c r="N26" s="51"/>
      <c r="O26" s="52" t="s">
        <v>84</v>
      </c>
      <c r="P26" s="52" t="s">
        <v>85</v>
      </c>
    </row>
    <row r="27" spans="1:16" ht="12.75" customHeight="1" thickBot="1" x14ac:dyDescent="0.25">
      <c r="A27" s="41" t="str">
        <f t="shared" si="0"/>
        <v> VB 5.3 </v>
      </c>
      <c r="B27" s="11" t="str">
        <f t="shared" si="1"/>
        <v>I</v>
      </c>
      <c r="C27" s="41">
        <f t="shared" si="2"/>
        <v>25554.316999999999</v>
      </c>
      <c r="D27" s="7" t="str">
        <f t="shared" si="3"/>
        <v>vis</v>
      </c>
      <c r="E27" s="49">
        <f>VLOOKUP(C27,Active!C$21:E$971,3,FALSE)</f>
        <v>-6.7390863879242323E-4</v>
      </c>
      <c r="F27" s="11" t="s">
        <v>46</v>
      </c>
      <c r="G27" s="7" t="str">
        <f t="shared" si="4"/>
        <v>25554.317</v>
      </c>
      <c r="H27" s="41">
        <f t="shared" si="5"/>
        <v>0</v>
      </c>
      <c r="I27" s="50" t="s">
        <v>86</v>
      </c>
      <c r="J27" s="51" t="s">
        <v>87</v>
      </c>
      <c r="K27" s="50">
        <v>0</v>
      </c>
      <c r="L27" s="50" t="s">
        <v>78</v>
      </c>
      <c r="M27" s="51" t="s">
        <v>83</v>
      </c>
      <c r="N27" s="51"/>
      <c r="O27" s="52" t="s">
        <v>84</v>
      </c>
      <c r="P27" s="52" t="s">
        <v>85</v>
      </c>
    </row>
    <row r="28" spans="1:16" ht="12.75" customHeight="1" thickBot="1" x14ac:dyDescent="0.25">
      <c r="A28" s="41" t="str">
        <f t="shared" si="0"/>
        <v> VB 5.3 </v>
      </c>
      <c r="B28" s="11" t="str">
        <f t="shared" si="1"/>
        <v>I</v>
      </c>
      <c r="C28" s="41">
        <f t="shared" si="2"/>
        <v>25554.350999999999</v>
      </c>
      <c r="D28" s="7" t="str">
        <f t="shared" si="3"/>
        <v>vis</v>
      </c>
      <c r="E28" s="49">
        <f>VLOOKUP(C28,Active!C$21:E$971,3,FALSE)</f>
        <v>6.9637225992205971E-3</v>
      </c>
      <c r="F28" s="11" t="s">
        <v>46</v>
      </c>
      <c r="G28" s="7" t="str">
        <f t="shared" si="4"/>
        <v>25554.351</v>
      </c>
      <c r="H28" s="41">
        <f t="shared" si="5"/>
        <v>0</v>
      </c>
      <c r="I28" s="50" t="s">
        <v>88</v>
      </c>
      <c r="J28" s="51" t="s">
        <v>89</v>
      </c>
      <c r="K28" s="50">
        <v>0</v>
      </c>
      <c r="L28" s="50" t="s">
        <v>90</v>
      </c>
      <c r="M28" s="51" t="s">
        <v>83</v>
      </c>
      <c r="N28" s="51"/>
      <c r="O28" s="52" t="s">
        <v>84</v>
      </c>
      <c r="P28" s="52" t="s">
        <v>85</v>
      </c>
    </row>
    <row r="29" spans="1:16" ht="12.75" customHeight="1" thickBot="1" x14ac:dyDescent="0.25">
      <c r="A29" s="41" t="str">
        <f t="shared" si="0"/>
        <v> VB 5.3 </v>
      </c>
      <c r="B29" s="11" t="str">
        <f t="shared" si="1"/>
        <v>I</v>
      </c>
      <c r="C29" s="41">
        <f t="shared" si="2"/>
        <v>25585.455999999998</v>
      </c>
      <c r="D29" s="7" t="str">
        <f t="shared" si="3"/>
        <v>vis</v>
      </c>
      <c r="E29" s="49">
        <f>VLOOKUP(C29,Active!C$21:E$971,3,FALSE)</f>
        <v>6.9942731243883953</v>
      </c>
      <c r="F29" s="11" t="s">
        <v>46</v>
      </c>
      <c r="G29" s="7" t="str">
        <f t="shared" si="4"/>
        <v>25585.456</v>
      </c>
      <c r="H29" s="41">
        <f t="shared" si="5"/>
        <v>7</v>
      </c>
      <c r="I29" s="50" t="s">
        <v>91</v>
      </c>
      <c r="J29" s="51" t="s">
        <v>92</v>
      </c>
      <c r="K29" s="50">
        <v>7</v>
      </c>
      <c r="L29" s="50" t="s">
        <v>93</v>
      </c>
      <c r="M29" s="51" t="s">
        <v>83</v>
      </c>
      <c r="N29" s="51"/>
      <c r="O29" s="52" t="s">
        <v>84</v>
      </c>
      <c r="P29" s="52" t="s">
        <v>85</v>
      </c>
    </row>
    <row r="30" spans="1:16" ht="12.75" customHeight="1" thickBot="1" x14ac:dyDescent="0.25">
      <c r="A30" s="41" t="str">
        <f t="shared" si="0"/>
        <v> VB 5.3 </v>
      </c>
      <c r="B30" s="11" t="str">
        <f t="shared" si="1"/>
        <v>I</v>
      </c>
      <c r="C30" s="41">
        <f t="shared" si="2"/>
        <v>25621.200000000001</v>
      </c>
      <c r="D30" s="7" t="str">
        <f t="shared" si="3"/>
        <v>vis</v>
      </c>
      <c r="E30" s="49">
        <f>VLOOKUP(C30,Active!C$21:E$971,3,FALSE)</f>
        <v>15.023669917751928</v>
      </c>
      <c r="F30" s="11" t="s">
        <v>46</v>
      </c>
      <c r="G30" s="7" t="str">
        <f t="shared" si="4"/>
        <v>25621.200</v>
      </c>
      <c r="H30" s="41">
        <f t="shared" si="5"/>
        <v>15</v>
      </c>
      <c r="I30" s="50" t="s">
        <v>94</v>
      </c>
      <c r="J30" s="51" t="s">
        <v>95</v>
      </c>
      <c r="K30" s="50">
        <v>15</v>
      </c>
      <c r="L30" s="50" t="s">
        <v>96</v>
      </c>
      <c r="M30" s="51" t="s">
        <v>83</v>
      </c>
      <c r="N30" s="51"/>
      <c r="O30" s="52" t="s">
        <v>84</v>
      </c>
      <c r="P30" s="52" t="s">
        <v>85</v>
      </c>
    </row>
    <row r="31" spans="1:16" ht="12.75" customHeight="1" thickBot="1" x14ac:dyDescent="0.25">
      <c r="A31" s="41" t="str">
        <f t="shared" si="0"/>
        <v> VB 5.3 </v>
      </c>
      <c r="B31" s="11" t="str">
        <f t="shared" si="1"/>
        <v>I</v>
      </c>
      <c r="C31" s="41">
        <f t="shared" si="2"/>
        <v>26413.308000000001</v>
      </c>
      <c r="D31" s="7" t="str">
        <f t="shared" si="3"/>
        <v>vis</v>
      </c>
      <c r="E31" s="49">
        <f>VLOOKUP(C31,Active!C$21:E$971,3,FALSE)</f>
        <v>192.95981123369788</v>
      </c>
      <c r="F31" s="11" t="s">
        <v>46</v>
      </c>
      <c r="G31" s="7" t="str">
        <f t="shared" si="4"/>
        <v>26413.308</v>
      </c>
      <c r="H31" s="41">
        <f t="shared" si="5"/>
        <v>193</v>
      </c>
      <c r="I31" s="50" t="s">
        <v>97</v>
      </c>
      <c r="J31" s="51" t="s">
        <v>98</v>
      </c>
      <c r="K31" s="50">
        <v>193</v>
      </c>
      <c r="L31" s="50" t="s">
        <v>99</v>
      </c>
      <c r="M31" s="51" t="s">
        <v>83</v>
      </c>
      <c r="N31" s="51"/>
      <c r="O31" s="52" t="s">
        <v>84</v>
      </c>
      <c r="P31" s="52" t="s">
        <v>85</v>
      </c>
    </row>
    <row r="32" spans="1:16" ht="12.75" customHeight="1" thickBot="1" x14ac:dyDescent="0.25">
      <c r="A32" s="41" t="str">
        <f t="shared" si="0"/>
        <v> VB 5.3 </v>
      </c>
      <c r="B32" s="11" t="str">
        <f t="shared" si="1"/>
        <v>I</v>
      </c>
      <c r="C32" s="41">
        <f t="shared" si="2"/>
        <v>26422.31</v>
      </c>
      <c r="D32" s="7" t="str">
        <f t="shared" si="3"/>
        <v>vis</v>
      </c>
      <c r="E32" s="49">
        <f>VLOOKUP(C32,Active!C$21:E$971,3,FALSE)</f>
        <v>194.98198642208914</v>
      </c>
      <c r="F32" s="11" t="s">
        <v>46</v>
      </c>
      <c r="G32" s="7" t="str">
        <f t="shared" si="4"/>
        <v>26422.310</v>
      </c>
      <c r="H32" s="41">
        <f t="shared" si="5"/>
        <v>195</v>
      </c>
      <c r="I32" s="50" t="s">
        <v>100</v>
      </c>
      <c r="J32" s="51" t="s">
        <v>101</v>
      </c>
      <c r="K32" s="50">
        <v>195</v>
      </c>
      <c r="L32" s="50" t="s">
        <v>102</v>
      </c>
      <c r="M32" s="51" t="s">
        <v>83</v>
      </c>
      <c r="N32" s="51"/>
      <c r="O32" s="52" t="s">
        <v>84</v>
      </c>
      <c r="P32" s="52" t="s">
        <v>85</v>
      </c>
    </row>
    <row r="33" spans="1:16" ht="12.75" customHeight="1" thickBot="1" x14ac:dyDescent="0.25">
      <c r="A33" s="41" t="str">
        <f t="shared" si="0"/>
        <v> VB 5.3 </v>
      </c>
      <c r="B33" s="11" t="str">
        <f t="shared" si="1"/>
        <v>I</v>
      </c>
      <c r="C33" s="41">
        <f t="shared" si="2"/>
        <v>26440.325000000001</v>
      </c>
      <c r="D33" s="7" t="str">
        <f t="shared" si="3"/>
        <v>vis</v>
      </c>
      <c r="E33" s="49">
        <f>VLOOKUP(C33,Active!C$21:E$971,3,FALSE)</f>
        <v>199.02880779721303</v>
      </c>
      <c r="F33" s="11" t="s">
        <v>46</v>
      </c>
      <c r="G33" s="7" t="str">
        <f t="shared" si="4"/>
        <v>26440.325</v>
      </c>
      <c r="H33" s="41">
        <f t="shared" si="5"/>
        <v>199</v>
      </c>
      <c r="I33" s="50" t="s">
        <v>103</v>
      </c>
      <c r="J33" s="51" t="s">
        <v>104</v>
      </c>
      <c r="K33" s="50">
        <v>199</v>
      </c>
      <c r="L33" s="50" t="s">
        <v>105</v>
      </c>
      <c r="M33" s="51" t="s">
        <v>83</v>
      </c>
      <c r="N33" s="51"/>
      <c r="O33" s="52" t="s">
        <v>84</v>
      </c>
      <c r="P33" s="52" t="s">
        <v>85</v>
      </c>
    </row>
    <row r="34" spans="1:16" ht="12.75" customHeight="1" thickBot="1" x14ac:dyDescent="0.25">
      <c r="A34" s="41" t="str">
        <f t="shared" si="0"/>
        <v> VB 5.3 </v>
      </c>
      <c r="B34" s="11" t="str">
        <f t="shared" si="1"/>
        <v>I</v>
      </c>
      <c r="C34" s="41">
        <f t="shared" si="2"/>
        <v>26649.374</v>
      </c>
      <c r="D34" s="7" t="str">
        <f t="shared" si="3"/>
        <v>vis</v>
      </c>
      <c r="E34" s="49">
        <f>VLOOKUP(C34,Active!C$21:E$971,3,FALSE)</f>
        <v>245.98878346461825</v>
      </c>
      <c r="F34" s="11" t="s">
        <v>46</v>
      </c>
      <c r="G34" s="7" t="str">
        <f t="shared" si="4"/>
        <v>26649.374</v>
      </c>
      <c r="H34" s="41">
        <f t="shared" si="5"/>
        <v>246</v>
      </c>
      <c r="I34" s="50" t="s">
        <v>106</v>
      </c>
      <c r="J34" s="51" t="s">
        <v>107</v>
      </c>
      <c r="K34" s="50">
        <v>246</v>
      </c>
      <c r="L34" s="50" t="s">
        <v>108</v>
      </c>
      <c r="M34" s="51" t="s">
        <v>83</v>
      </c>
      <c r="N34" s="51"/>
      <c r="O34" s="52" t="s">
        <v>84</v>
      </c>
      <c r="P34" s="52" t="s">
        <v>85</v>
      </c>
    </row>
    <row r="35" spans="1:16" ht="12.75" customHeight="1" thickBot="1" x14ac:dyDescent="0.25">
      <c r="A35" s="41" t="str">
        <f t="shared" si="0"/>
        <v> VB 5.3 </v>
      </c>
      <c r="B35" s="11" t="str">
        <f t="shared" si="1"/>
        <v>I</v>
      </c>
      <c r="C35" s="41">
        <f t="shared" si="2"/>
        <v>26649.46</v>
      </c>
      <c r="D35" s="7" t="str">
        <f t="shared" si="3"/>
        <v>vis</v>
      </c>
      <c r="E35" s="49">
        <f>VLOOKUP(C35,Active!C$21:E$971,3,FALSE)</f>
        <v>246.00810217892624</v>
      </c>
      <c r="F35" s="11" t="s">
        <v>46</v>
      </c>
      <c r="G35" s="7" t="str">
        <f t="shared" si="4"/>
        <v>26649.460</v>
      </c>
      <c r="H35" s="41">
        <f t="shared" si="5"/>
        <v>246</v>
      </c>
      <c r="I35" s="50" t="s">
        <v>109</v>
      </c>
      <c r="J35" s="51" t="s">
        <v>110</v>
      </c>
      <c r="K35" s="50">
        <v>246</v>
      </c>
      <c r="L35" s="50" t="s">
        <v>111</v>
      </c>
      <c r="M35" s="51" t="s">
        <v>83</v>
      </c>
      <c r="N35" s="51"/>
      <c r="O35" s="52" t="s">
        <v>84</v>
      </c>
      <c r="P35" s="52" t="s">
        <v>85</v>
      </c>
    </row>
    <row r="36" spans="1:16" ht="12.75" customHeight="1" thickBot="1" x14ac:dyDescent="0.25">
      <c r="A36" s="41" t="str">
        <f t="shared" si="0"/>
        <v> VB 5.3 </v>
      </c>
      <c r="B36" s="11" t="str">
        <f t="shared" si="1"/>
        <v>I</v>
      </c>
      <c r="C36" s="41">
        <f t="shared" si="2"/>
        <v>26649.496999999999</v>
      </c>
      <c r="D36" s="7" t="str">
        <f t="shared" si="3"/>
        <v>vis</v>
      </c>
      <c r="E36" s="49">
        <f>VLOOKUP(C36,Active!C$21:E$971,3,FALSE)</f>
        <v>246.01641371880302</v>
      </c>
      <c r="F36" s="11" t="s">
        <v>46</v>
      </c>
      <c r="G36" s="7" t="str">
        <f t="shared" si="4"/>
        <v>26649.497</v>
      </c>
      <c r="H36" s="41">
        <f t="shared" si="5"/>
        <v>246</v>
      </c>
      <c r="I36" s="50" t="s">
        <v>112</v>
      </c>
      <c r="J36" s="51" t="s">
        <v>113</v>
      </c>
      <c r="K36" s="50">
        <v>246</v>
      </c>
      <c r="L36" s="50" t="s">
        <v>114</v>
      </c>
      <c r="M36" s="51" t="s">
        <v>83</v>
      </c>
      <c r="N36" s="51"/>
      <c r="O36" s="52" t="s">
        <v>84</v>
      </c>
      <c r="P36" s="52" t="s">
        <v>85</v>
      </c>
    </row>
    <row r="37" spans="1:16" ht="12.75" customHeight="1" thickBot="1" x14ac:dyDescent="0.25">
      <c r="A37" s="41" t="str">
        <f t="shared" si="0"/>
        <v> VB 5.3 </v>
      </c>
      <c r="B37" s="11" t="str">
        <f t="shared" si="1"/>
        <v>I</v>
      </c>
      <c r="C37" s="41">
        <f t="shared" si="2"/>
        <v>28069.487000000001</v>
      </c>
      <c r="D37" s="7" t="str">
        <f t="shared" si="3"/>
        <v>vis</v>
      </c>
      <c r="E37" s="49">
        <f>VLOOKUP(C37,Active!C$21:E$971,3,FALSE)</f>
        <v>564.99758965343608</v>
      </c>
      <c r="F37" s="11" t="s">
        <v>46</v>
      </c>
      <c r="G37" s="7" t="str">
        <f t="shared" si="4"/>
        <v>28069.487</v>
      </c>
      <c r="H37" s="41">
        <f t="shared" si="5"/>
        <v>565</v>
      </c>
      <c r="I37" s="50" t="s">
        <v>115</v>
      </c>
      <c r="J37" s="51" t="s">
        <v>116</v>
      </c>
      <c r="K37" s="50">
        <v>565</v>
      </c>
      <c r="L37" s="50" t="s">
        <v>117</v>
      </c>
      <c r="M37" s="51" t="s">
        <v>83</v>
      </c>
      <c r="N37" s="51"/>
      <c r="O37" s="52" t="s">
        <v>84</v>
      </c>
      <c r="P37" s="52" t="s">
        <v>85</v>
      </c>
    </row>
    <row r="38" spans="1:16" ht="12.75" customHeight="1" thickBot="1" x14ac:dyDescent="0.25">
      <c r="A38" s="41" t="str">
        <f t="shared" si="0"/>
        <v> VB 5.3 </v>
      </c>
      <c r="B38" s="11" t="str">
        <f t="shared" si="1"/>
        <v>I</v>
      </c>
      <c r="C38" s="41">
        <f t="shared" si="2"/>
        <v>28078.41</v>
      </c>
      <c r="D38" s="7" t="str">
        <f t="shared" si="3"/>
        <v>vis</v>
      </c>
      <c r="E38" s="49">
        <f>VLOOKUP(C38,Active!C$21:E$971,3,FALSE)</f>
        <v>567.00201858100911</v>
      </c>
      <c r="F38" s="11" t="s">
        <v>46</v>
      </c>
      <c r="G38" s="7" t="str">
        <f t="shared" si="4"/>
        <v>28078.410</v>
      </c>
      <c r="H38" s="41">
        <f t="shared" si="5"/>
        <v>567</v>
      </c>
      <c r="I38" s="50" t="s">
        <v>118</v>
      </c>
      <c r="J38" s="51" t="s">
        <v>119</v>
      </c>
      <c r="K38" s="50">
        <v>567</v>
      </c>
      <c r="L38" s="50" t="s">
        <v>120</v>
      </c>
      <c r="M38" s="51" t="s">
        <v>83</v>
      </c>
      <c r="N38" s="51"/>
      <c r="O38" s="52" t="s">
        <v>84</v>
      </c>
      <c r="P38" s="52" t="s">
        <v>85</v>
      </c>
    </row>
    <row r="39" spans="1:16" ht="12.75" customHeight="1" thickBot="1" x14ac:dyDescent="0.25">
      <c r="A39" s="41" t="str">
        <f t="shared" si="0"/>
        <v> VB 5.3 </v>
      </c>
      <c r="B39" s="11" t="str">
        <f t="shared" si="1"/>
        <v>I</v>
      </c>
      <c r="C39" s="41">
        <f t="shared" si="2"/>
        <v>28078.455000000002</v>
      </c>
      <c r="D39" s="7" t="str">
        <f t="shared" si="3"/>
        <v>vis</v>
      </c>
      <c r="E39" s="49">
        <f>VLOOKUP(C39,Active!C$21:E$971,3,FALSE)</f>
        <v>567.01212721058937</v>
      </c>
      <c r="F39" s="11" t="s">
        <v>46</v>
      </c>
      <c r="G39" s="7" t="str">
        <f t="shared" si="4"/>
        <v>28078.455</v>
      </c>
      <c r="H39" s="41">
        <f t="shared" si="5"/>
        <v>567</v>
      </c>
      <c r="I39" s="50" t="s">
        <v>121</v>
      </c>
      <c r="J39" s="51" t="s">
        <v>122</v>
      </c>
      <c r="K39" s="50">
        <v>567</v>
      </c>
      <c r="L39" s="50" t="s">
        <v>123</v>
      </c>
      <c r="M39" s="51" t="s">
        <v>83</v>
      </c>
      <c r="N39" s="51"/>
      <c r="O39" s="52" t="s">
        <v>84</v>
      </c>
      <c r="P39" s="52" t="s">
        <v>85</v>
      </c>
    </row>
    <row r="40" spans="1:16" ht="12.75" customHeight="1" thickBot="1" x14ac:dyDescent="0.25">
      <c r="A40" s="41" t="str">
        <f t="shared" si="0"/>
        <v> VB 5.3 </v>
      </c>
      <c r="B40" s="11" t="str">
        <f t="shared" si="1"/>
        <v>I</v>
      </c>
      <c r="C40" s="41">
        <f t="shared" si="2"/>
        <v>28127.365000000002</v>
      </c>
      <c r="D40" s="7" t="str">
        <f t="shared" si="3"/>
        <v>vis</v>
      </c>
      <c r="E40" s="49">
        <f>VLOOKUP(C40,Active!C$21:E$971,3,FALSE)</f>
        <v>577.9990843827967</v>
      </c>
      <c r="F40" s="11" t="s">
        <v>46</v>
      </c>
      <c r="G40" s="7" t="str">
        <f t="shared" si="4"/>
        <v>28127.365</v>
      </c>
      <c r="H40" s="41">
        <f t="shared" si="5"/>
        <v>578</v>
      </c>
      <c r="I40" s="50" t="s">
        <v>124</v>
      </c>
      <c r="J40" s="51" t="s">
        <v>125</v>
      </c>
      <c r="K40" s="50">
        <v>578</v>
      </c>
      <c r="L40" s="50" t="s">
        <v>126</v>
      </c>
      <c r="M40" s="51" t="s">
        <v>83</v>
      </c>
      <c r="N40" s="51"/>
      <c r="O40" s="52" t="s">
        <v>84</v>
      </c>
      <c r="P40" s="52" t="s">
        <v>85</v>
      </c>
    </row>
    <row r="41" spans="1:16" ht="12.75" customHeight="1" thickBot="1" x14ac:dyDescent="0.25">
      <c r="A41" s="41" t="str">
        <f t="shared" si="0"/>
        <v> VB 5.3 </v>
      </c>
      <c r="B41" s="11" t="str">
        <f t="shared" si="1"/>
        <v>I</v>
      </c>
      <c r="C41" s="41">
        <f t="shared" si="2"/>
        <v>28127.39</v>
      </c>
      <c r="D41" s="7" t="str">
        <f t="shared" si="3"/>
        <v>vis</v>
      </c>
      <c r="E41" s="49">
        <f>VLOOKUP(C41,Active!C$21:E$971,3,FALSE)</f>
        <v>578.00470028811844</v>
      </c>
      <c r="F41" s="11" t="s">
        <v>46</v>
      </c>
      <c r="G41" s="7" t="str">
        <f t="shared" si="4"/>
        <v>28127.390</v>
      </c>
      <c r="H41" s="41">
        <f t="shared" si="5"/>
        <v>578</v>
      </c>
      <c r="I41" s="50" t="s">
        <v>127</v>
      </c>
      <c r="J41" s="51" t="s">
        <v>128</v>
      </c>
      <c r="K41" s="50">
        <v>578</v>
      </c>
      <c r="L41" s="50" t="s">
        <v>129</v>
      </c>
      <c r="M41" s="51" t="s">
        <v>83</v>
      </c>
      <c r="N41" s="51"/>
      <c r="O41" s="52" t="s">
        <v>84</v>
      </c>
      <c r="P41" s="52" t="s">
        <v>85</v>
      </c>
    </row>
    <row r="42" spans="1:16" ht="12.75" customHeight="1" thickBot="1" x14ac:dyDescent="0.25">
      <c r="A42" s="41" t="str">
        <f t="shared" si="0"/>
        <v> VB 5.3 </v>
      </c>
      <c r="B42" s="11" t="str">
        <f t="shared" si="1"/>
        <v>I</v>
      </c>
      <c r="C42" s="41">
        <f t="shared" si="2"/>
        <v>28127.437000000002</v>
      </c>
      <c r="D42" s="7" t="str">
        <f t="shared" si="3"/>
        <v>vis</v>
      </c>
      <c r="E42" s="49">
        <f>VLOOKUP(C42,Active!C$21:E$971,3,FALSE)</f>
        <v>578.01525819012454</v>
      </c>
      <c r="F42" s="11" t="s">
        <v>46</v>
      </c>
      <c r="G42" s="7" t="str">
        <f t="shared" si="4"/>
        <v>28127.437</v>
      </c>
      <c r="H42" s="41">
        <f t="shared" si="5"/>
        <v>578</v>
      </c>
      <c r="I42" s="50" t="s">
        <v>130</v>
      </c>
      <c r="J42" s="51" t="s">
        <v>131</v>
      </c>
      <c r="K42" s="50">
        <v>578</v>
      </c>
      <c r="L42" s="50" t="s">
        <v>132</v>
      </c>
      <c r="M42" s="51" t="s">
        <v>83</v>
      </c>
      <c r="N42" s="51"/>
      <c r="O42" s="52" t="s">
        <v>84</v>
      </c>
      <c r="P42" s="52" t="s">
        <v>85</v>
      </c>
    </row>
    <row r="43" spans="1:16" ht="12.75" customHeight="1" thickBot="1" x14ac:dyDescent="0.25">
      <c r="A43" s="41" t="str">
        <f t="shared" si="0"/>
        <v> VB 5.3 </v>
      </c>
      <c r="B43" s="11" t="str">
        <f t="shared" si="1"/>
        <v>I</v>
      </c>
      <c r="C43" s="41">
        <f t="shared" si="2"/>
        <v>28425.550999999999</v>
      </c>
      <c r="D43" s="7" t="str">
        <f t="shared" si="3"/>
        <v>vis</v>
      </c>
      <c r="E43" s="49">
        <f>VLOOKUP(C43,Active!C$21:E$971,3,FALSE)</f>
        <v>644.98245815813584</v>
      </c>
      <c r="F43" s="11" t="s">
        <v>46</v>
      </c>
      <c r="G43" s="7" t="str">
        <f t="shared" si="4"/>
        <v>28425.551</v>
      </c>
      <c r="H43" s="41">
        <f t="shared" si="5"/>
        <v>645</v>
      </c>
      <c r="I43" s="50" t="s">
        <v>133</v>
      </c>
      <c r="J43" s="51" t="s">
        <v>134</v>
      </c>
      <c r="K43" s="50">
        <v>645</v>
      </c>
      <c r="L43" s="50" t="s">
        <v>135</v>
      </c>
      <c r="M43" s="51" t="s">
        <v>83</v>
      </c>
      <c r="N43" s="51"/>
      <c r="O43" s="52" t="s">
        <v>84</v>
      </c>
      <c r="P43" s="52" t="s">
        <v>85</v>
      </c>
    </row>
    <row r="44" spans="1:16" ht="12.75" customHeight="1" thickBot="1" x14ac:dyDescent="0.25">
      <c r="A44" s="41" t="str">
        <f t="shared" si="0"/>
        <v> VB 5.3 </v>
      </c>
      <c r="B44" s="11" t="str">
        <f t="shared" si="1"/>
        <v>I</v>
      </c>
      <c r="C44" s="41">
        <f t="shared" si="2"/>
        <v>28750.544000000002</v>
      </c>
      <c r="D44" s="7" t="str">
        <f t="shared" si="3"/>
        <v>vis</v>
      </c>
      <c r="E44" s="49">
        <f>VLOOKUP(C44,Active!C$21:E$971,3,FALSE)</f>
        <v>717.98765489228515</v>
      </c>
      <c r="F44" s="11" t="s">
        <v>46</v>
      </c>
      <c r="G44" s="7" t="str">
        <f t="shared" si="4"/>
        <v>28750.544</v>
      </c>
      <c r="H44" s="41">
        <f t="shared" si="5"/>
        <v>718</v>
      </c>
      <c r="I44" s="50" t="s">
        <v>136</v>
      </c>
      <c r="J44" s="51" t="s">
        <v>137</v>
      </c>
      <c r="K44" s="50">
        <v>718</v>
      </c>
      <c r="L44" s="50" t="s">
        <v>138</v>
      </c>
      <c r="M44" s="51" t="s">
        <v>83</v>
      </c>
      <c r="N44" s="51"/>
      <c r="O44" s="52" t="s">
        <v>84</v>
      </c>
      <c r="P44" s="52" t="s">
        <v>85</v>
      </c>
    </row>
    <row r="45" spans="1:16" ht="12.75" customHeight="1" thickBot="1" x14ac:dyDescent="0.25">
      <c r="A45" s="41" t="str">
        <f t="shared" si="0"/>
        <v> VB 5.3 </v>
      </c>
      <c r="B45" s="11" t="str">
        <f t="shared" si="1"/>
        <v>I</v>
      </c>
      <c r="C45" s="41">
        <f t="shared" si="2"/>
        <v>28955.312000000002</v>
      </c>
      <c r="D45" s="7" t="str">
        <f t="shared" si="3"/>
        <v>vis</v>
      </c>
      <c r="E45" s="49">
        <f>VLOOKUP(C45,Active!C$21:E$971,3,FALSE)</f>
        <v>763.9859629323297</v>
      </c>
      <c r="F45" s="11" t="s">
        <v>46</v>
      </c>
      <c r="G45" s="7" t="str">
        <f t="shared" si="4"/>
        <v>28955.312</v>
      </c>
      <c r="H45" s="41">
        <f t="shared" si="5"/>
        <v>764</v>
      </c>
      <c r="I45" s="50" t="s">
        <v>139</v>
      </c>
      <c r="J45" s="51" t="s">
        <v>140</v>
      </c>
      <c r="K45" s="50">
        <v>764</v>
      </c>
      <c r="L45" s="50" t="s">
        <v>141</v>
      </c>
      <c r="M45" s="51" t="s">
        <v>83</v>
      </c>
      <c r="N45" s="51"/>
      <c r="O45" s="52" t="s">
        <v>84</v>
      </c>
      <c r="P45" s="52" t="s">
        <v>85</v>
      </c>
    </row>
    <row r="46" spans="1:16" ht="12.75" customHeight="1" thickBot="1" x14ac:dyDescent="0.25">
      <c r="A46" s="41" t="str">
        <f t="shared" si="0"/>
        <v> VB 5.3 </v>
      </c>
      <c r="B46" s="11" t="str">
        <f t="shared" si="1"/>
        <v>I</v>
      </c>
      <c r="C46" s="41">
        <f t="shared" si="2"/>
        <v>28964.326000000001</v>
      </c>
      <c r="D46" s="7" t="str">
        <f t="shared" si="3"/>
        <v>vis</v>
      </c>
      <c r="E46" s="49">
        <f>VLOOKUP(C46,Active!C$21:E$971,3,FALSE)</f>
        <v>766.01083375527537</v>
      </c>
      <c r="F46" s="11" t="s">
        <v>46</v>
      </c>
      <c r="G46" s="7" t="str">
        <f t="shared" si="4"/>
        <v>28964.326</v>
      </c>
      <c r="H46" s="41">
        <f t="shared" si="5"/>
        <v>766</v>
      </c>
      <c r="I46" s="50" t="s">
        <v>142</v>
      </c>
      <c r="J46" s="51" t="s">
        <v>143</v>
      </c>
      <c r="K46" s="50">
        <v>766</v>
      </c>
      <c r="L46" s="50" t="s">
        <v>144</v>
      </c>
      <c r="M46" s="51" t="s">
        <v>83</v>
      </c>
      <c r="N46" s="51"/>
      <c r="O46" s="52" t="s">
        <v>84</v>
      </c>
      <c r="P46" s="52" t="s">
        <v>85</v>
      </c>
    </row>
    <row r="47" spans="1:16" ht="12.75" customHeight="1" thickBot="1" x14ac:dyDescent="0.25">
      <c r="A47" s="41" t="str">
        <f t="shared" si="0"/>
        <v> VB 5.3 </v>
      </c>
      <c r="B47" s="11" t="str">
        <f t="shared" si="1"/>
        <v>I</v>
      </c>
      <c r="C47" s="41">
        <f t="shared" si="2"/>
        <v>29231.401000000002</v>
      </c>
      <c r="D47" s="7" t="str">
        <f t="shared" si="3"/>
        <v>vis</v>
      </c>
      <c r="E47" s="49">
        <f>VLOOKUP(C47,Active!C$21:E$971,3,FALSE)</f>
        <v>826.00555031154852</v>
      </c>
      <c r="F47" s="11" t="s">
        <v>46</v>
      </c>
      <c r="G47" s="7" t="str">
        <f t="shared" si="4"/>
        <v>29231.401</v>
      </c>
      <c r="H47" s="41">
        <f t="shared" si="5"/>
        <v>826</v>
      </c>
      <c r="I47" s="50" t="s">
        <v>145</v>
      </c>
      <c r="J47" s="51" t="s">
        <v>146</v>
      </c>
      <c r="K47" s="50">
        <v>826</v>
      </c>
      <c r="L47" s="50" t="s">
        <v>147</v>
      </c>
      <c r="M47" s="51" t="s">
        <v>83</v>
      </c>
      <c r="N47" s="51"/>
      <c r="O47" s="52" t="s">
        <v>84</v>
      </c>
      <c r="P47" s="52" t="s">
        <v>85</v>
      </c>
    </row>
    <row r="48" spans="1:16" ht="12.75" customHeight="1" thickBot="1" x14ac:dyDescent="0.25">
      <c r="A48" s="41" t="str">
        <f t="shared" si="0"/>
        <v> VB 5.3 </v>
      </c>
      <c r="B48" s="11" t="str">
        <f t="shared" si="1"/>
        <v>I</v>
      </c>
      <c r="C48" s="41">
        <f t="shared" si="2"/>
        <v>29231.421999999999</v>
      </c>
      <c r="D48" s="7" t="str">
        <f t="shared" si="3"/>
        <v>vis</v>
      </c>
      <c r="E48" s="49">
        <f>VLOOKUP(C48,Active!C$21:E$971,3,FALSE)</f>
        <v>826.01026767201836</v>
      </c>
      <c r="F48" s="11" t="s">
        <v>46</v>
      </c>
      <c r="G48" s="7" t="str">
        <f t="shared" si="4"/>
        <v>29231.422</v>
      </c>
      <c r="H48" s="41">
        <f t="shared" si="5"/>
        <v>826</v>
      </c>
      <c r="I48" s="50" t="s">
        <v>148</v>
      </c>
      <c r="J48" s="51" t="s">
        <v>149</v>
      </c>
      <c r="K48" s="50">
        <v>826</v>
      </c>
      <c r="L48" s="50" t="s">
        <v>150</v>
      </c>
      <c r="M48" s="51" t="s">
        <v>83</v>
      </c>
      <c r="N48" s="51"/>
      <c r="O48" s="52" t="s">
        <v>84</v>
      </c>
      <c r="P48" s="52" t="s">
        <v>85</v>
      </c>
    </row>
    <row r="49" spans="1:16" ht="12.75" customHeight="1" thickBot="1" x14ac:dyDescent="0.25">
      <c r="A49" s="41" t="str">
        <f t="shared" si="0"/>
        <v> VB 5.3 </v>
      </c>
      <c r="B49" s="11" t="str">
        <f t="shared" si="1"/>
        <v>I</v>
      </c>
      <c r="C49" s="41">
        <f t="shared" si="2"/>
        <v>36603.25</v>
      </c>
      <c r="D49" s="7" t="str">
        <f t="shared" si="3"/>
        <v>vis</v>
      </c>
      <c r="E49" s="49">
        <f>VLOOKUP(C49,Active!C$21:E$971,3,FALSE)</f>
        <v>2481.9897916319419</v>
      </c>
      <c r="F49" s="11" t="s">
        <v>46</v>
      </c>
      <c r="G49" s="7" t="str">
        <f t="shared" si="4"/>
        <v>36603.250</v>
      </c>
      <c r="H49" s="41">
        <f t="shared" si="5"/>
        <v>2482</v>
      </c>
      <c r="I49" s="50" t="s">
        <v>151</v>
      </c>
      <c r="J49" s="51" t="s">
        <v>152</v>
      </c>
      <c r="K49" s="50">
        <v>2482</v>
      </c>
      <c r="L49" s="50" t="s">
        <v>153</v>
      </c>
      <c r="M49" s="51" t="s">
        <v>83</v>
      </c>
      <c r="N49" s="51"/>
      <c r="O49" s="52" t="s">
        <v>84</v>
      </c>
      <c r="P49" s="52" t="s">
        <v>85</v>
      </c>
    </row>
    <row r="50" spans="1:16" ht="12.75" customHeight="1" thickBot="1" x14ac:dyDescent="0.25">
      <c r="A50" s="41" t="str">
        <f t="shared" si="0"/>
        <v> VB 5.3 </v>
      </c>
      <c r="B50" s="11" t="str">
        <f t="shared" si="1"/>
        <v>I</v>
      </c>
      <c r="C50" s="41">
        <f t="shared" si="2"/>
        <v>36612.264999999999</v>
      </c>
      <c r="D50" s="7" t="str">
        <f t="shared" si="3"/>
        <v>vis</v>
      </c>
      <c r="E50" s="49">
        <f>VLOOKUP(C50,Active!C$21:E$971,3,FALSE)</f>
        <v>2484.0148870911003</v>
      </c>
      <c r="F50" s="11" t="s">
        <v>46</v>
      </c>
      <c r="G50" s="7" t="str">
        <f t="shared" si="4"/>
        <v>36612.265</v>
      </c>
      <c r="H50" s="41">
        <f t="shared" si="5"/>
        <v>2484</v>
      </c>
      <c r="I50" s="50" t="s">
        <v>154</v>
      </c>
      <c r="J50" s="51" t="s">
        <v>155</v>
      </c>
      <c r="K50" s="50">
        <v>2484</v>
      </c>
      <c r="L50" s="50" t="s">
        <v>156</v>
      </c>
      <c r="M50" s="51" t="s">
        <v>83</v>
      </c>
      <c r="N50" s="51"/>
      <c r="O50" s="52" t="s">
        <v>84</v>
      </c>
      <c r="P50" s="52" t="s">
        <v>85</v>
      </c>
    </row>
    <row r="51" spans="1:16" ht="12.75" customHeight="1" thickBot="1" x14ac:dyDescent="0.25">
      <c r="A51" s="41" t="str">
        <f t="shared" si="0"/>
        <v>BAVM 32 </v>
      </c>
      <c r="B51" s="11" t="str">
        <f t="shared" si="1"/>
        <v>I</v>
      </c>
      <c r="C51" s="41">
        <f t="shared" si="2"/>
        <v>44166.468999999997</v>
      </c>
      <c r="D51" s="7" t="str">
        <f t="shared" si="3"/>
        <v>vis</v>
      </c>
      <c r="E51" s="49">
        <f>VLOOKUP(C51,Active!C$21:E$971,3,FALSE)</f>
        <v>4180.9626650121463</v>
      </c>
      <c r="F51" s="11" t="s">
        <v>46</v>
      </c>
      <c r="G51" s="7" t="str">
        <f t="shared" si="4"/>
        <v>44166.469</v>
      </c>
      <c r="H51" s="41">
        <f t="shared" si="5"/>
        <v>4181</v>
      </c>
      <c r="I51" s="50" t="s">
        <v>157</v>
      </c>
      <c r="J51" s="51" t="s">
        <v>158</v>
      </c>
      <c r="K51" s="50">
        <v>4181</v>
      </c>
      <c r="L51" s="50" t="s">
        <v>159</v>
      </c>
      <c r="M51" s="51" t="s">
        <v>160</v>
      </c>
      <c r="N51" s="51"/>
      <c r="O51" s="52" t="s">
        <v>161</v>
      </c>
      <c r="P51" s="53" t="s">
        <v>162</v>
      </c>
    </row>
    <row r="52" spans="1:16" ht="12.75" customHeight="1" thickBot="1" x14ac:dyDescent="0.25">
      <c r="A52" s="41" t="str">
        <f t="shared" si="0"/>
        <v>BAVM 50 </v>
      </c>
      <c r="B52" s="11" t="str">
        <f t="shared" si="1"/>
        <v>I</v>
      </c>
      <c r="C52" s="41">
        <f t="shared" si="2"/>
        <v>47082.418100000003</v>
      </c>
      <c r="D52" s="7" t="str">
        <f t="shared" si="3"/>
        <v>vis</v>
      </c>
      <c r="E52" s="49" t="e">
        <f>VLOOKUP(C52,Active!C$21:E$971,3,FALSE)</f>
        <v>#N/A</v>
      </c>
      <c r="F52" s="11" t="s">
        <v>46</v>
      </c>
      <c r="G52" s="7" t="str">
        <f t="shared" si="4"/>
        <v>47082.4181</v>
      </c>
      <c r="H52" s="41">
        <f t="shared" si="5"/>
        <v>4836</v>
      </c>
      <c r="I52" s="50" t="s">
        <v>198</v>
      </c>
      <c r="J52" s="51" t="s">
        <v>199</v>
      </c>
      <c r="K52" s="50">
        <v>4836</v>
      </c>
      <c r="L52" s="50" t="s">
        <v>200</v>
      </c>
      <c r="M52" s="51" t="s">
        <v>171</v>
      </c>
      <c r="N52" s="51" t="s">
        <v>201</v>
      </c>
      <c r="O52" s="52" t="s">
        <v>202</v>
      </c>
      <c r="P52" s="53" t="s">
        <v>203</v>
      </c>
    </row>
    <row r="53" spans="1:16" ht="12.75" customHeight="1" thickBot="1" x14ac:dyDescent="0.25">
      <c r="A53" s="41" t="str">
        <f t="shared" si="0"/>
        <v> VSSC 73 </v>
      </c>
      <c r="B53" s="11" t="str">
        <f t="shared" si="1"/>
        <v>I</v>
      </c>
      <c r="C53" s="41">
        <f t="shared" si="2"/>
        <v>47603.356</v>
      </c>
      <c r="D53" s="7" t="str">
        <f t="shared" si="3"/>
        <v>vis</v>
      </c>
      <c r="E53" s="49">
        <f>VLOOKUP(C53,Active!C$21:E$971,3,FALSE)</f>
        <v>4953.0119448059841</v>
      </c>
      <c r="F53" s="11" t="s">
        <v>46</v>
      </c>
      <c r="G53" s="7" t="str">
        <f t="shared" si="4"/>
        <v>47603.356</v>
      </c>
      <c r="H53" s="41">
        <f t="shared" si="5"/>
        <v>4953</v>
      </c>
      <c r="I53" s="50" t="s">
        <v>204</v>
      </c>
      <c r="J53" s="51" t="s">
        <v>205</v>
      </c>
      <c r="K53" s="50">
        <v>4953</v>
      </c>
      <c r="L53" s="50" t="s">
        <v>206</v>
      </c>
      <c r="M53" s="51" t="s">
        <v>160</v>
      </c>
      <c r="N53" s="51"/>
      <c r="O53" s="52" t="s">
        <v>207</v>
      </c>
      <c r="P53" s="52" t="s">
        <v>208</v>
      </c>
    </row>
    <row r="54" spans="1:16" ht="12.75" customHeight="1" thickBot="1" x14ac:dyDescent="0.25">
      <c r="A54" s="41" t="str">
        <f t="shared" si="0"/>
        <v>OEJV 0107 </v>
      </c>
      <c r="B54" s="11" t="str">
        <f t="shared" si="1"/>
        <v>I</v>
      </c>
      <c r="C54" s="41">
        <f t="shared" si="2"/>
        <v>54810.471299999997</v>
      </c>
      <c r="D54" s="7" t="str">
        <f t="shared" si="3"/>
        <v>vis</v>
      </c>
      <c r="E54" s="49" t="e">
        <f>VLOOKUP(C54,Active!C$21:E$971,3,FALSE)</f>
        <v>#N/A</v>
      </c>
      <c r="F54" s="11" t="s">
        <v>46</v>
      </c>
      <c r="G54" s="7" t="str">
        <f t="shared" si="4"/>
        <v>54810.4713</v>
      </c>
      <c r="H54" s="41">
        <f t="shared" si="5"/>
        <v>6572</v>
      </c>
      <c r="I54" s="50" t="s">
        <v>234</v>
      </c>
      <c r="J54" s="51" t="s">
        <v>235</v>
      </c>
      <c r="K54" s="50">
        <v>6572</v>
      </c>
      <c r="L54" s="50" t="s">
        <v>236</v>
      </c>
      <c r="M54" s="51" t="s">
        <v>230</v>
      </c>
      <c r="N54" s="51" t="s">
        <v>237</v>
      </c>
      <c r="O54" s="52" t="s">
        <v>238</v>
      </c>
      <c r="P54" s="53" t="s">
        <v>239</v>
      </c>
    </row>
    <row r="55" spans="1:16" ht="12.75" customHeight="1" thickBot="1" x14ac:dyDescent="0.25">
      <c r="A55" s="41" t="str">
        <f t="shared" si="0"/>
        <v>BAVM 225 </v>
      </c>
      <c r="B55" s="11" t="str">
        <f t="shared" si="1"/>
        <v>I</v>
      </c>
      <c r="C55" s="41">
        <f t="shared" si="2"/>
        <v>55883.327100000002</v>
      </c>
      <c r="D55" s="7" t="str">
        <f t="shared" si="3"/>
        <v>vis</v>
      </c>
      <c r="E55" s="49">
        <f>VLOOKUP(C55,Active!C$21:E$971,3,FALSE)</f>
        <v>6812.993295507591</v>
      </c>
      <c r="F55" s="11" t="s">
        <v>46</v>
      </c>
      <c r="G55" s="7" t="str">
        <f t="shared" si="4"/>
        <v>55883.3271</v>
      </c>
      <c r="H55" s="41">
        <f t="shared" si="5"/>
        <v>6813</v>
      </c>
      <c r="I55" s="50" t="s">
        <v>240</v>
      </c>
      <c r="J55" s="51" t="s">
        <v>241</v>
      </c>
      <c r="K55" s="50">
        <v>6813</v>
      </c>
      <c r="L55" s="50" t="s">
        <v>242</v>
      </c>
      <c r="M55" s="51" t="s">
        <v>230</v>
      </c>
      <c r="N55" s="51" t="s">
        <v>243</v>
      </c>
      <c r="O55" s="52" t="s">
        <v>183</v>
      </c>
      <c r="P55" s="53" t="s">
        <v>244</v>
      </c>
    </row>
    <row r="56" spans="1:16" x14ac:dyDescent="0.2">
      <c r="B56" s="11"/>
      <c r="F56" s="11"/>
    </row>
    <row r="57" spans="1:16" x14ac:dyDescent="0.2">
      <c r="B57" s="11"/>
      <c r="F57" s="11"/>
    </row>
    <row r="58" spans="1:16" x14ac:dyDescent="0.2">
      <c r="B58" s="11"/>
      <c r="F58" s="11"/>
    </row>
    <row r="59" spans="1:16" x14ac:dyDescent="0.2">
      <c r="B59" s="11"/>
      <c r="F59" s="11"/>
    </row>
    <row r="60" spans="1:16" x14ac:dyDescent="0.2">
      <c r="B60" s="11"/>
      <c r="F60" s="11"/>
    </row>
    <row r="61" spans="1:16" x14ac:dyDescent="0.2">
      <c r="B61" s="11"/>
      <c r="F61" s="11"/>
    </row>
    <row r="62" spans="1:16" x14ac:dyDescent="0.2">
      <c r="B62" s="11"/>
      <c r="F62" s="11"/>
    </row>
    <row r="63" spans="1:16" x14ac:dyDescent="0.2">
      <c r="B63" s="11"/>
      <c r="F63" s="11"/>
    </row>
    <row r="64" spans="1:1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</sheetData>
  <phoneticPr fontId="7" type="noConversion"/>
  <hyperlinks>
    <hyperlink ref="P51" r:id="rId1" display="http://www.bav-astro.de/sfs/BAVM_link.php?BAVMnr=32"/>
    <hyperlink ref="P11" r:id="rId2" display="http://www.bav-astro.de/sfs/BAVM_link.php?BAVMnr=34"/>
    <hyperlink ref="P12" r:id="rId3" display="http://www.konkoly.hu/cgi-bin/IBVS?2944"/>
    <hyperlink ref="P13" r:id="rId4" display="http://www.konkoly.hu/cgi-bin/IBVS?2944"/>
    <hyperlink ref="P14" r:id="rId5" display="http://www.konkoly.hu/cgi-bin/IBVS?2944"/>
    <hyperlink ref="P15" r:id="rId6" display="http://www.bav-astro.de/sfs/BAVM_link.php?BAVMnr=38"/>
    <hyperlink ref="P16" r:id="rId7" display="http://www.bav-astro.de/sfs/BAVM_link.php?BAVMnr=39"/>
    <hyperlink ref="P52" r:id="rId8" display="http://www.bav-astro.de/sfs/BAVM_link.php?BAVMnr=50"/>
    <hyperlink ref="P20" r:id="rId9" display="http://www.bav-astro.de/sfs/BAVM_link.php?BAVMnr=60"/>
    <hyperlink ref="P21" r:id="rId10" display="http://www.bav-astro.de/sfs/BAVM_link.php?BAVMnr=60"/>
    <hyperlink ref="P23" r:id="rId11" display="http://www.bav-astro.de/sfs/BAVM_link.php?BAVMnr=178"/>
    <hyperlink ref="P54" r:id="rId12" display="http://var.astro.cz/oejv/issues/oejv0107.pdf"/>
    <hyperlink ref="P55" r:id="rId13" display="http://www.bav-astro.de/sfs/BAVM_link.php?BAVMnr=225"/>
    <hyperlink ref="P24" r:id="rId14" display="http://www.konkoly.hu/cgi-bin/IBVS?6114"/>
    <hyperlink ref="P25" r:id="rId15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2024-01-19T06:07:19Z</dcterms:modified>
</cp:coreProperties>
</file>