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10CEC84-748B-4684-9E1B-1A58F7413A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3" r:id="rId1"/>
    <sheet name="Active 2" sheetId="5" r:id="rId2"/>
    <sheet name="BAV" sheetId="4" r:id="rId3"/>
    <sheet name="A (old)" sheetId="1" r:id="rId4"/>
    <sheet name="B" sheetId="2" r:id="rId5"/>
  </sheets>
  <calcPr calcId="181029"/>
</workbook>
</file>

<file path=xl/calcChain.xml><?xml version="1.0" encoding="utf-8"?>
<calcChain xmlns="http://schemas.openxmlformats.org/spreadsheetml/2006/main">
  <c r="E41" i="5" l="1"/>
  <c r="F41" i="5" s="1"/>
  <c r="G41" i="5" s="1"/>
  <c r="K41" i="5" s="1"/>
  <c r="Q41" i="5"/>
  <c r="E42" i="5"/>
  <c r="F42" i="5" s="1"/>
  <c r="G42" i="5" s="1"/>
  <c r="K42" i="5" s="1"/>
  <c r="Q42" i="5"/>
  <c r="E43" i="5"/>
  <c r="F43" i="5"/>
  <c r="G43" i="5" s="1"/>
  <c r="K43" i="5" s="1"/>
  <c r="Q43" i="5"/>
  <c r="E44" i="5"/>
  <c r="F44" i="5" s="1"/>
  <c r="G44" i="5" s="1"/>
  <c r="K44" i="5" s="1"/>
  <c r="Q44" i="5"/>
  <c r="E45" i="5"/>
  <c r="F45" i="5"/>
  <c r="G45" i="5" s="1"/>
  <c r="K45" i="5" s="1"/>
  <c r="Q45" i="5"/>
  <c r="E46" i="5"/>
  <c r="F46" i="5"/>
  <c r="G46" i="5" s="1"/>
  <c r="K46" i="5" s="1"/>
  <c r="Q46" i="5"/>
  <c r="E47" i="5"/>
  <c r="F47" i="5" s="1"/>
  <c r="G47" i="5" s="1"/>
  <c r="K47" i="5" s="1"/>
  <c r="Q47" i="5"/>
  <c r="E48" i="5"/>
  <c r="F48" i="5" s="1"/>
  <c r="G48" i="5" s="1"/>
  <c r="K48" i="5" s="1"/>
  <c r="Q48" i="5"/>
  <c r="E41" i="3"/>
  <c r="F41" i="3" s="1"/>
  <c r="G41" i="3" s="1"/>
  <c r="K41" i="3" s="1"/>
  <c r="Q41" i="3"/>
  <c r="E42" i="3"/>
  <c r="F42" i="3" s="1"/>
  <c r="G42" i="3" s="1"/>
  <c r="K42" i="3" s="1"/>
  <c r="Q42" i="3"/>
  <c r="E43" i="3"/>
  <c r="F43" i="3"/>
  <c r="G43" i="3" s="1"/>
  <c r="K43" i="3" s="1"/>
  <c r="Q43" i="3"/>
  <c r="E44" i="3"/>
  <c r="F44" i="3" s="1"/>
  <c r="G44" i="3" s="1"/>
  <c r="K44" i="3" s="1"/>
  <c r="Q44" i="3"/>
  <c r="E45" i="3"/>
  <c r="F45" i="3"/>
  <c r="G45" i="3" s="1"/>
  <c r="K45" i="3" s="1"/>
  <c r="Q45" i="3"/>
  <c r="E46" i="3"/>
  <c r="F46" i="3"/>
  <c r="G46" i="3" s="1"/>
  <c r="K46" i="3" s="1"/>
  <c r="Q46" i="3"/>
  <c r="E47" i="3"/>
  <c r="F47" i="3" s="1"/>
  <c r="G47" i="3" s="1"/>
  <c r="K47" i="3" s="1"/>
  <c r="Q47" i="3"/>
  <c r="E48" i="3"/>
  <c r="F48" i="3" s="1"/>
  <c r="G48" i="3" s="1"/>
  <c r="K48" i="3" s="1"/>
  <c r="Q48" i="3"/>
  <c r="F14" i="3"/>
  <c r="F14" i="5"/>
  <c r="E36" i="5"/>
  <c r="F36" i="5" s="1"/>
  <c r="G36" i="5" s="1"/>
  <c r="J36" i="5" s="1"/>
  <c r="E39" i="5"/>
  <c r="F39" i="5"/>
  <c r="G39" i="5" s="1"/>
  <c r="K39" i="5" s="1"/>
  <c r="E40" i="5"/>
  <c r="F40" i="5" s="1"/>
  <c r="G40" i="5" s="1"/>
  <c r="K40" i="5" s="1"/>
  <c r="E38" i="5"/>
  <c r="F38" i="5"/>
  <c r="G38" i="5"/>
  <c r="K38" i="5" s="1"/>
  <c r="E37" i="5"/>
  <c r="F37" i="5" s="1"/>
  <c r="G37" i="5" s="1"/>
  <c r="J37" i="5" s="1"/>
  <c r="E25" i="5"/>
  <c r="F25" i="5"/>
  <c r="G25" i="5" s="1"/>
  <c r="R25" i="5" s="1"/>
  <c r="E26" i="5"/>
  <c r="F26" i="5" s="1"/>
  <c r="G26" i="5" s="1"/>
  <c r="E27" i="5"/>
  <c r="F27" i="5" s="1"/>
  <c r="G27" i="5" s="1"/>
  <c r="E28" i="5"/>
  <c r="F28" i="5"/>
  <c r="G28" i="5" s="1"/>
  <c r="R28" i="5" s="1"/>
  <c r="E29" i="5"/>
  <c r="F29" i="5" s="1"/>
  <c r="G29" i="5" s="1"/>
  <c r="E30" i="5"/>
  <c r="F30" i="5" s="1"/>
  <c r="G30" i="5" s="1"/>
  <c r="R30" i="5" s="1"/>
  <c r="E31" i="5"/>
  <c r="F31" i="5"/>
  <c r="G31" i="5"/>
  <c r="I31" i="5" s="1"/>
  <c r="E32" i="5"/>
  <c r="F32" i="5" s="1"/>
  <c r="G32" i="5" s="1"/>
  <c r="E33" i="5"/>
  <c r="F33" i="5" s="1"/>
  <c r="G33" i="5" s="1"/>
  <c r="E34" i="5"/>
  <c r="F34" i="5" s="1"/>
  <c r="G34" i="5" s="1"/>
  <c r="I34" i="5" s="1"/>
  <c r="E35" i="5"/>
  <c r="F35" i="5" s="1"/>
  <c r="G35" i="5" s="1"/>
  <c r="I35" i="5" s="1"/>
  <c r="C9" i="5"/>
  <c r="D9" i="5"/>
  <c r="E23" i="5"/>
  <c r="F23" i="5" s="1"/>
  <c r="G23" i="5" s="1"/>
  <c r="E24" i="5"/>
  <c r="F24" i="5" s="1"/>
  <c r="G24" i="5" s="1"/>
  <c r="C22" i="5"/>
  <c r="E22" i="5"/>
  <c r="F22" i="5" s="1"/>
  <c r="G22" i="5" s="1"/>
  <c r="R22" i="5" s="1"/>
  <c r="E21" i="5"/>
  <c r="F21" i="5"/>
  <c r="G21" i="5"/>
  <c r="R21" i="5" s="1"/>
  <c r="C17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E37" i="3"/>
  <c r="F37" i="3" s="1"/>
  <c r="G37" i="3" s="1"/>
  <c r="J37" i="3" s="1"/>
  <c r="E34" i="3"/>
  <c r="E27" i="4" s="1"/>
  <c r="E32" i="3"/>
  <c r="F32" i="3" s="1"/>
  <c r="G32" i="3" s="1"/>
  <c r="I32" i="3" s="1"/>
  <c r="E21" i="3"/>
  <c r="F21" i="3" s="1"/>
  <c r="G21" i="3" s="1"/>
  <c r="I21" i="3" s="1"/>
  <c r="E24" i="3"/>
  <c r="F24" i="3" s="1"/>
  <c r="G24" i="3" s="1"/>
  <c r="I24" i="3" s="1"/>
  <c r="D9" i="3"/>
  <c r="C9" i="3"/>
  <c r="C22" i="3"/>
  <c r="C17" i="3"/>
  <c r="E22" i="3"/>
  <c r="F22" i="3" s="1"/>
  <c r="G22" i="3" s="1"/>
  <c r="Q21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G14" i="4"/>
  <c r="C14" i="4"/>
  <c r="G13" i="4"/>
  <c r="C13" i="4"/>
  <c r="G29" i="4"/>
  <c r="C29" i="4"/>
  <c r="E29" i="4"/>
  <c r="G12" i="4"/>
  <c r="C12" i="4"/>
  <c r="G11" i="4"/>
  <c r="C11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6" i="4"/>
  <c r="C16" i="4"/>
  <c r="G15" i="4"/>
  <c r="C15" i="4"/>
  <c r="E15" i="4"/>
  <c r="H14" i="4"/>
  <c r="D14" i="4"/>
  <c r="B14" i="4"/>
  <c r="A14" i="4"/>
  <c r="H13" i="4"/>
  <c r="B13" i="4"/>
  <c r="D13" i="4"/>
  <c r="A13" i="4"/>
  <c r="H29" i="4"/>
  <c r="D29" i="4"/>
  <c r="B29" i="4"/>
  <c r="A29" i="4"/>
  <c r="H12" i="4"/>
  <c r="B12" i="4"/>
  <c r="D12" i="4"/>
  <c r="A12" i="4"/>
  <c r="H11" i="4"/>
  <c r="D11" i="4"/>
  <c r="B11" i="4"/>
  <c r="A11" i="4"/>
  <c r="H28" i="4"/>
  <c r="B28" i="4"/>
  <c r="D28" i="4"/>
  <c r="A28" i="4"/>
  <c r="H27" i="4"/>
  <c r="D27" i="4"/>
  <c r="B27" i="4"/>
  <c r="A27" i="4"/>
  <c r="H26" i="4"/>
  <c r="B26" i="4"/>
  <c r="D26" i="4"/>
  <c r="A26" i="4"/>
  <c r="H25" i="4"/>
  <c r="D25" i="4"/>
  <c r="B25" i="4"/>
  <c r="A25" i="4"/>
  <c r="H24" i="4"/>
  <c r="B24" i="4"/>
  <c r="D24" i="4"/>
  <c r="A24" i="4"/>
  <c r="H23" i="4"/>
  <c r="D23" i="4"/>
  <c r="B23" i="4"/>
  <c r="A23" i="4"/>
  <c r="H22" i="4"/>
  <c r="B22" i="4"/>
  <c r="D22" i="4"/>
  <c r="A22" i="4"/>
  <c r="H21" i="4"/>
  <c r="D21" i="4"/>
  <c r="B21" i="4"/>
  <c r="A21" i="4"/>
  <c r="H20" i="4"/>
  <c r="B20" i="4"/>
  <c r="D20" i="4"/>
  <c r="A20" i="4"/>
  <c r="H19" i="4"/>
  <c r="D19" i="4"/>
  <c r="B19" i="4"/>
  <c r="A19" i="4"/>
  <c r="H18" i="4"/>
  <c r="B18" i="4"/>
  <c r="D18" i="4"/>
  <c r="A18" i="4"/>
  <c r="H17" i="4"/>
  <c r="D17" i="4"/>
  <c r="B17" i="4"/>
  <c r="A17" i="4"/>
  <c r="H16" i="4"/>
  <c r="B16" i="4"/>
  <c r="D16" i="4"/>
  <c r="A16" i="4"/>
  <c r="H15" i="4"/>
  <c r="D15" i="4"/>
  <c r="B15" i="4"/>
  <c r="A15" i="4"/>
  <c r="Q40" i="3"/>
  <c r="Q22" i="3"/>
  <c r="Q36" i="3"/>
  <c r="Q37" i="3"/>
  <c r="Q38" i="3"/>
  <c r="Q39" i="3"/>
  <c r="C21" i="2"/>
  <c r="E24" i="2"/>
  <c r="F24" i="2"/>
  <c r="G24" i="2"/>
  <c r="J24" i="2"/>
  <c r="F11" i="2"/>
  <c r="G11" i="2"/>
  <c r="Q23" i="2"/>
  <c r="Q25" i="2"/>
  <c r="C7" i="2"/>
  <c r="E25" i="2"/>
  <c r="F25" i="2"/>
  <c r="E15" i="2"/>
  <c r="Q22" i="2"/>
  <c r="Q24" i="2"/>
  <c r="Q23" i="1"/>
  <c r="Q22" i="1"/>
  <c r="C7" i="1"/>
  <c r="C8" i="1"/>
  <c r="C21" i="1"/>
  <c r="C19" i="1"/>
  <c r="C18" i="1"/>
  <c r="Q21" i="1"/>
  <c r="E21" i="2"/>
  <c r="F21" i="2"/>
  <c r="G21" i="2"/>
  <c r="C17" i="2"/>
  <c r="Q21" i="2"/>
  <c r="E22" i="1"/>
  <c r="F22" i="1"/>
  <c r="E21" i="1"/>
  <c r="F21" i="1"/>
  <c r="G21" i="1"/>
  <c r="G22" i="1"/>
  <c r="E23" i="1"/>
  <c r="F23" i="1"/>
  <c r="G23" i="1"/>
  <c r="I23" i="1"/>
  <c r="G22" i="2"/>
  <c r="I22" i="2"/>
  <c r="E31" i="3"/>
  <c r="F31" i="3" s="1"/>
  <c r="G31" i="3" s="1"/>
  <c r="I31" i="3" s="1"/>
  <c r="E25" i="4"/>
  <c r="E22" i="2"/>
  <c r="F22" i="2"/>
  <c r="E23" i="3"/>
  <c r="E16" i="4" s="1"/>
  <c r="E28" i="3"/>
  <c r="F28" i="3" s="1"/>
  <c r="G28" i="3" s="1"/>
  <c r="I28" i="3" s="1"/>
  <c r="E30" i="3"/>
  <c r="F30" i="3" s="1"/>
  <c r="G30" i="3" s="1"/>
  <c r="I30" i="3" s="1"/>
  <c r="E36" i="3"/>
  <c r="E11" i="4" s="1"/>
  <c r="F36" i="3"/>
  <c r="G36" i="3" s="1"/>
  <c r="J36" i="3" s="1"/>
  <c r="E23" i="2"/>
  <c r="F23" i="2"/>
  <c r="E35" i="3"/>
  <c r="F35" i="3" s="1"/>
  <c r="G35" i="3" s="1"/>
  <c r="I35" i="3" s="1"/>
  <c r="E17" i="4"/>
  <c r="E26" i="3"/>
  <c r="E19" i="4" s="1"/>
  <c r="E12" i="4"/>
  <c r="E27" i="3"/>
  <c r="F27" i="3" s="1"/>
  <c r="G27" i="3" s="1"/>
  <c r="I27" i="3" s="1"/>
  <c r="E39" i="3"/>
  <c r="E25" i="3"/>
  <c r="F25" i="3" s="1"/>
  <c r="G25" i="3" s="1"/>
  <c r="I25" i="3" s="1"/>
  <c r="E29" i="3"/>
  <c r="E33" i="3"/>
  <c r="E26" i="4" s="1"/>
  <c r="F33" i="3"/>
  <c r="G33" i="3" s="1"/>
  <c r="I33" i="3" s="1"/>
  <c r="E38" i="3"/>
  <c r="F38" i="3" s="1"/>
  <c r="G38" i="3" s="1"/>
  <c r="K38" i="3" s="1"/>
  <c r="F34" i="3"/>
  <c r="G34" i="3" s="1"/>
  <c r="I34" i="3" s="1"/>
  <c r="E40" i="3"/>
  <c r="E14" i="4" s="1"/>
  <c r="E21" i="4"/>
  <c r="E28" i="4"/>
  <c r="F39" i="3"/>
  <c r="G39" i="3" s="1"/>
  <c r="K39" i="3" s="1"/>
  <c r="E13" i="4"/>
  <c r="C12" i="1"/>
  <c r="C16" i="1"/>
  <c r="D18" i="1"/>
  <c r="I22" i="1"/>
  <c r="C11" i="1"/>
  <c r="F29" i="3"/>
  <c r="G29" i="3" s="1"/>
  <c r="I29" i="3" s="1"/>
  <c r="E22" i="4"/>
  <c r="F23" i="3"/>
  <c r="G23" i="3" s="1"/>
  <c r="I23" i="3" s="1"/>
  <c r="O22" i="1"/>
  <c r="R22" i="1"/>
  <c r="O21" i="1"/>
  <c r="R21" i="1"/>
  <c r="O23" i="1"/>
  <c r="R23" i="1"/>
  <c r="R15" i="1"/>
  <c r="R16" i="1"/>
  <c r="R17" i="1"/>
  <c r="C11" i="5"/>
  <c r="C12" i="5"/>
  <c r="C11" i="2"/>
  <c r="R26" i="5" l="1"/>
  <c r="I26" i="5"/>
  <c r="R24" i="5"/>
  <c r="I24" i="5"/>
  <c r="I33" i="5"/>
  <c r="R33" i="5"/>
  <c r="R29" i="5"/>
  <c r="I29" i="5"/>
  <c r="I32" i="5"/>
  <c r="R32" i="5"/>
  <c r="R27" i="5"/>
  <c r="I27" i="5"/>
  <c r="I23" i="5"/>
  <c r="R23" i="5"/>
  <c r="I28" i="5"/>
  <c r="I25" i="5"/>
  <c r="R31" i="5"/>
  <c r="I30" i="5"/>
  <c r="I21" i="5"/>
  <c r="E24" i="4"/>
  <c r="E23" i="4"/>
  <c r="F40" i="3"/>
  <c r="G40" i="3" s="1"/>
  <c r="K40" i="3" s="1"/>
  <c r="F26" i="3"/>
  <c r="G26" i="3" s="1"/>
  <c r="E20" i="4"/>
  <c r="E18" i="4"/>
  <c r="O45" i="5"/>
  <c r="R45" i="5" s="1"/>
  <c r="O44" i="5"/>
  <c r="R44" i="5" s="1"/>
  <c r="O43" i="5"/>
  <c r="R43" i="5" s="1"/>
  <c r="O42" i="5"/>
  <c r="R42" i="5" s="1"/>
  <c r="O41" i="5"/>
  <c r="R41" i="5" s="1"/>
  <c r="O48" i="5"/>
  <c r="R48" i="5" s="1"/>
  <c r="O47" i="5"/>
  <c r="R47" i="5" s="1"/>
  <c r="O46" i="5"/>
  <c r="R46" i="5" s="1"/>
  <c r="F15" i="3"/>
  <c r="F15" i="5"/>
  <c r="O34" i="5"/>
  <c r="R34" i="5" s="1"/>
  <c r="C15" i="5"/>
  <c r="O35" i="5"/>
  <c r="R35" i="5" s="1"/>
  <c r="O40" i="5"/>
  <c r="R40" i="5" s="1"/>
  <c r="O38" i="5"/>
  <c r="R38" i="5" s="1"/>
  <c r="O36" i="5"/>
  <c r="R36" i="5" s="1"/>
  <c r="O37" i="5"/>
  <c r="R37" i="5" s="1"/>
  <c r="O39" i="5"/>
  <c r="R39" i="5" s="1"/>
  <c r="C16" i="5"/>
  <c r="D18" i="5" s="1"/>
  <c r="C12" i="2"/>
  <c r="C11" i="3"/>
  <c r="C12" i="3"/>
  <c r="O22" i="2" l="1"/>
  <c r="R22" i="2" s="1"/>
  <c r="C15" i="2"/>
  <c r="C18" i="2" s="1"/>
  <c r="O25" i="2"/>
  <c r="R25" i="2" s="1"/>
  <c r="O23" i="2"/>
  <c r="R23" i="2" s="1"/>
  <c r="O21" i="2"/>
  <c r="R21" i="2" s="1"/>
  <c r="C16" i="2"/>
  <c r="D18" i="2" s="1"/>
  <c r="O24" i="2"/>
  <c r="R24" i="2" s="1"/>
  <c r="C16" i="3"/>
  <c r="D18" i="3" s="1"/>
  <c r="O48" i="3"/>
  <c r="S48" i="3" s="1"/>
  <c r="O37" i="3"/>
  <c r="S37" i="3" s="1"/>
  <c r="O32" i="3"/>
  <c r="S32" i="3" s="1"/>
  <c r="O25" i="3"/>
  <c r="S25" i="3" s="1"/>
  <c r="O40" i="3"/>
  <c r="S40" i="3" s="1"/>
  <c r="O47" i="3"/>
  <c r="S47" i="3" s="1"/>
  <c r="O24" i="3"/>
  <c r="S24" i="3" s="1"/>
  <c r="O26" i="3"/>
  <c r="S26" i="3" s="1"/>
  <c r="O38" i="3"/>
  <c r="S38" i="3" s="1"/>
  <c r="O36" i="3"/>
  <c r="S36" i="3" s="1"/>
  <c r="O28" i="3"/>
  <c r="S28" i="3" s="1"/>
  <c r="O27" i="3"/>
  <c r="S27" i="3" s="1"/>
  <c r="O31" i="3"/>
  <c r="S31" i="3" s="1"/>
  <c r="O46" i="3"/>
  <c r="S46" i="3" s="1"/>
  <c r="O35" i="3"/>
  <c r="S35" i="3" s="1"/>
  <c r="O23" i="3"/>
  <c r="S23" i="3" s="1"/>
  <c r="O21" i="3"/>
  <c r="S21" i="3" s="1"/>
  <c r="O43" i="3"/>
  <c r="S43" i="3" s="1"/>
  <c r="C15" i="3"/>
  <c r="C18" i="3" s="1"/>
  <c r="O45" i="3"/>
  <c r="S45" i="3" s="1"/>
  <c r="O33" i="3"/>
  <c r="S33" i="3" s="1"/>
  <c r="O39" i="3"/>
  <c r="S39" i="3" s="1"/>
  <c r="O34" i="3"/>
  <c r="S34" i="3" s="1"/>
  <c r="O44" i="3"/>
  <c r="S44" i="3" s="1"/>
  <c r="O30" i="3"/>
  <c r="S30" i="3" s="1"/>
  <c r="O29" i="3"/>
  <c r="S29" i="3" s="1"/>
  <c r="O41" i="3"/>
  <c r="S41" i="3" s="1"/>
  <c r="O22" i="3"/>
  <c r="S22" i="3" s="1"/>
  <c r="O42" i="3"/>
  <c r="S42" i="3" s="1"/>
  <c r="I26" i="3"/>
  <c r="F16" i="5"/>
  <c r="F18" i="5" s="1"/>
  <c r="C18" i="5"/>
  <c r="E16" i="2" l="1"/>
  <c r="E17" i="2" s="1"/>
  <c r="F16" i="3"/>
  <c r="F18" i="3" s="1"/>
  <c r="F17" i="5"/>
  <c r="F17" i="3" l="1"/>
</calcChain>
</file>

<file path=xl/sharedStrings.xml><?xml version="1.0" encoding="utf-8"?>
<sst xmlns="http://schemas.openxmlformats.org/spreadsheetml/2006/main" count="481" uniqueCount="158">
  <si>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</si>
  <si>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</si>
  <si>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</si>
  <si>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</si>
  <si>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</si>
  <si>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</si>
  <si>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</si>
  <si>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</si>
  <si>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</si>
  <si>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</si>
  <si>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</si>
  <si>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</si>
  <si>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</si>
  <si>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</si>
  <si>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</si>
  <si>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</si>
  <si>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</si>
  <si>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</si>
  <si>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</si>
  <si>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</si>
  <si>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</si>
  <si>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</si>
  <si>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</si>
  <si>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</si>
  <si>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</si>
  <si>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</si>
  <si>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</si>
  <si>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</si>
  <si>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</si>
  <si>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</si>
  <si>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</si>
  <si>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V385 Cas / gsc 3274-0917</t>
  </si>
  <si>
    <t>EA</t>
  </si>
  <si>
    <t>Rounding Tol. =</t>
  </si>
  <si>
    <t>IBVS 4711</t>
  </si>
  <si>
    <t>RHN 2006</t>
  </si>
  <si>
    <t>Sum =</t>
  </si>
  <si>
    <t xml:space="preserve">Count = </t>
  </si>
  <si>
    <t>RMS dev'n</t>
  </si>
  <si>
    <t>Best cycle offset</t>
  </si>
  <si>
    <t>My time zone &gt;&gt;&gt;&gt;&gt;</t>
  </si>
  <si>
    <t>(PST=8, PDT=MDT=7, MDT=CST=6, etc.)</t>
  </si>
  <si>
    <t>na</t>
  </si>
  <si>
    <t>JD today</t>
  </si>
  <si>
    <t>New Cycle</t>
  </si>
  <si>
    <t># of data points:</t>
  </si>
  <si>
    <t>Next ToM</t>
  </si>
  <si>
    <t>Local time</t>
  </si>
  <si>
    <t>IBVS 5760</t>
  </si>
  <si>
    <t>Start of linear fit &gt;&gt;&gt;&gt;&gt;&gt;&gt;&gt;&gt;&gt;&gt;&gt;&gt;&gt;&gt;&gt;&gt;&gt;&gt;&gt;&gt;</t>
  </si>
  <si>
    <t>Nelson</t>
  </si>
  <si>
    <t>IBVS 5871</t>
  </si>
  <si>
    <t>I</t>
  </si>
  <si>
    <t>IBVS 6010</t>
  </si>
  <si>
    <t>II</t>
  </si>
  <si>
    <t>.0011</t>
  </si>
  <si>
    <t>Preferred fit</t>
  </si>
  <si>
    <t>Add cycle</t>
  </si>
  <si>
    <t>Old Cycle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</si>
  <si>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</si>
  <si>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</si>
  <si>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</si>
  <si>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</si>
  <si>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</si>
  <si>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</si>
  <si>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</si>
  <si>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</si>
  <si>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</si>
  <si>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</si>
  <si>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</si>
  <si>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</si>
  <si>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2426626.348 </t>
  </si>
  <si>
    <t> 11.10.1931 20:21 </t>
  </si>
  <si>
    <t> -0.025 </t>
  </si>
  <si>
    <t>P </t>
  </si>
  <si>
    <t> Strohmeier&amp;Knigge </t>
  </si>
  <si>
    <t> VB 5.10 </t>
  </si>
  <si>
    <t>2426677.336 </t>
  </si>
  <si>
    <t> 01.12.1931 20:03 </t>
  </si>
  <si>
    <t> 0.015 </t>
  </si>
  <si>
    <t>2427359.436 </t>
  </si>
  <si>
    <t> 13.10.1933 22:27 </t>
  </si>
  <si>
    <t> -0.017 </t>
  </si>
  <si>
    <t>2428078.363 </t>
  </si>
  <si>
    <t> 02.10.1935 20:42 </t>
  </si>
  <si>
    <t> -0.018 </t>
  </si>
  <si>
    <t>2428078.410 </t>
  </si>
  <si>
    <t> 02.10.1935 21:50 </t>
  </si>
  <si>
    <t> 0.029 </t>
  </si>
  <si>
    <t>2429162.431 </t>
  </si>
  <si>
    <t> 20.09.1938 22:20 </t>
  </si>
  <si>
    <t> -0.002 </t>
  </si>
  <si>
    <t>2429196.397 </t>
  </si>
  <si>
    <t> 24.10.1938 21:31 </t>
  </si>
  <si>
    <t> -0.001 </t>
  </si>
  <si>
    <t>2436490.442 </t>
  </si>
  <si>
    <t> 13.10.1958 22:36 </t>
  </si>
  <si>
    <t> 0.041 </t>
  </si>
  <si>
    <t> E.A.Satanova </t>
  </si>
  <si>
    <t> AC 216.15 </t>
  </si>
  <si>
    <t>2436541.270 </t>
  </si>
  <si>
    <t> 03.12.1958 18:28 </t>
  </si>
  <si>
    <t> -0.078 </t>
  </si>
  <si>
    <t>2436541.316 </t>
  </si>
  <si>
    <t> 03.12.1958 19:35 </t>
  </si>
  <si>
    <t> -0.032 </t>
  </si>
  <si>
    <t>2436821.560 </t>
  </si>
  <si>
    <t> 10.09.1959 01:26 </t>
  </si>
  <si>
    <t> -0.000 </t>
  </si>
  <si>
    <t>2436824.438 </t>
  </si>
  <si>
    <t> 12.09.1959 22:30 </t>
  </si>
  <si>
    <t> 0.047 </t>
  </si>
  <si>
    <t>2436841.475 </t>
  </si>
  <si>
    <t> 29.09.1959 23:24 </t>
  </si>
  <si>
    <t> 0.102 </t>
  </si>
  <si>
    <t>2437206.492 </t>
  </si>
  <si>
    <t> 28.09.1960 23:48 </t>
  </si>
  <si>
    <t> -0.006 </t>
  </si>
  <si>
    <t>2450752.2475 </t>
  </si>
  <si>
    <t> 30.10.1997 17:56 </t>
  </si>
  <si>
    <t> -0.6597 </t>
  </si>
  <si>
    <t>E </t>
  </si>
  <si>
    <t>o</t>
  </si>
  <si>
    <t> W.Moschner </t>
  </si>
  <si>
    <t>BAVM 117 </t>
  </si>
  <si>
    <t>2453735.3504 </t>
  </si>
  <si>
    <t> 30.12.2005 20:24 </t>
  </si>
  <si>
    <t> -0.8237 </t>
  </si>
  <si>
    <t>C </t>
  </si>
  <si>
    <t>-I</t>
  </si>
  <si>
    <t> F.Agerer </t>
  </si>
  <si>
    <t>BAVM 220 </t>
  </si>
  <si>
    <t>2454060.8386 </t>
  </si>
  <si>
    <t> 21.11.2006 08:07 </t>
  </si>
  <si>
    <t>9693</t>
  </si>
  <si>
    <t> -0.8342 </t>
  </si>
  <si>
    <t>R</t>
  </si>
  <si>
    <t> R. Nelson </t>
  </si>
  <si>
    <t>IBVS 5760 </t>
  </si>
  <si>
    <t>2454762.7344 </t>
  </si>
  <si>
    <t> 23.10.2008 05:37 </t>
  </si>
  <si>
    <t>9940.5</t>
  </si>
  <si>
    <t> 0.5316 </t>
  </si>
  <si>
    <t> R.Diethelm </t>
  </si>
  <si>
    <t>IBVS 5871 </t>
  </si>
  <si>
    <t>2456152.3991 </t>
  </si>
  <si>
    <t> 12.08.2012 21:34 </t>
  </si>
  <si>
    <t>10431.5</t>
  </si>
  <si>
    <t> 0.4581 </t>
  </si>
  <si>
    <t> M.Moudra </t>
  </si>
  <si>
    <t>OEJV 0160 </t>
  </si>
  <si>
    <t>V0385 Cas / gsc 3274-0917</t>
  </si>
  <si>
    <t>Next ToM-P</t>
  </si>
  <si>
    <t>Next ToM-S</t>
  </si>
  <si>
    <t>11.60-12.20</t>
  </si>
  <si>
    <t xml:space="preserve">Mag p </t>
  </si>
  <si>
    <t>EA /D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</si>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</sst>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10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0" xfId="0">
      <alignment vertical="top"/>
    </xf>
    <xf numFmtId="0" fontId="0" fillId="0" borderId="4" xfId="0" applyBorder="1">
      <alignment vertical="top"/>
    </xf>
    <xf numFmtId="0" fontId="6" fillId="0" borderId="0" xfId="0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4" fillId="0" borderId="0" xfId="0" applyFont="1">
      <alignment vertical="top"/>
    </xf>
    <xf numFmtId="0" fontId="0" fillId="0" borderId="10" xfId="0" applyBorder="1" applyAlignment="1">
      <alignment horizontal="center"/>
    </xf>
    <xf numFmtId="0" fontId="8" fillId="2" borderId="1" xfId="0" applyFont="1" applyFill="1" applyBorder="1" applyAlignment="1"/>
    <xf numFmtId="0" fontId="9" fillId="0" borderId="1" xfId="0" applyFont="1" applyBorder="1">
      <alignment vertical="top"/>
    </xf>
    <xf numFmtId="0" fontId="9" fillId="0" borderId="0" xfId="0" applyFont="1" applyAlignment="1"/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0" borderId="0" xfId="0" applyFont="1">
      <alignment vertical="top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>
      <alignment vertical="top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9" fillId="0" borderId="4" xfId="0" applyFont="1" applyBorder="1">
      <alignment vertical="top"/>
    </xf>
    <xf numFmtId="0" fontId="16" fillId="0" borderId="1" xfId="0" applyFont="1" applyBorder="1">
      <alignment vertical="top"/>
    </xf>
    <xf numFmtId="0" fontId="16" fillId="0" borderId="1" xfId="0" applyFont="1" applyBorder="1" applyAlignment="1">
      <alignment horizontal="left" vertical="top"/>
    </xf>
    <xf numFmtId="0" fontId="17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0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3" borderId="19" xfId="0" applyFont="1" applyFill="1" applyBorder="1" applyAlignment="1">
      <alignment horizontal="left" vertical="top" wrapText="1" indent="1"/>
    </xf>
    <xf numFmtId="0" fontId="5" fillId="3" borderId="19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right" vertical="top" wrapText="1"/>
    </xf>
    <xf numFmtId="0" fontId="20" fillId="3" borderId="19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1" xfId="0" applyFont="1" applyBorder="1" applyAlignment="1"/>
    <xf numFmtId="0" fontId="21" fillId="0" borderId="9" xfId="0" applyFont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4" borderId="0" xfId="0" applyFont="1" applyFill="1" applyAlignment="1"/>
    <xf numFmtId="0" fontId="8" fillId="5" borderId="0" xfId="0" applyFont="1" applyFill="1" applyAlignment="1"/>
    <xf numFmtId="0" fontId="22" fillId="6" borderId="0" xfId="0" applyFont="1" applyFill="1" applyAlignment="1"/>
    <xf numFmtId="0" fontId="9" fillId="0" borderId="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3" xfId="0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11" xfId="0" applyBorder="1" applyAlignment="1">
      <alignment horizontal="left" vertical="top"/>
    </xf>
    <xf numFmtId="0" fontId="0" fillId="0" borderId="10" xfId="0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9" xfId="0" applyFont="1" applyBorder="1" applyAlignment="1">
      <alignment horizontal="left" vertical="center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24" fillId="0" borderId="1" xfId="0" applyFont="1" applyBorder="1">
      <alignment vertical="top"/>
    </xf>
    <xf numFmtId="0" fontId="25" fillId="0" borderId="22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23" fillId="7" borderId="20" xfId="0" applyFont="1" applyFill="1" applyBorder="1" applyAlignment="1">
      <alignment horizontal="right" vertical="center"/>
    </xf>
    <xf numFmtId="0" fontId="23" fillId="7" borderId="21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27" fillId="0" borderId="23" xfId="0" applyFont="1" applyBorder="1" applyAlignment="1">
      <alignment horizontal="right" vertical="center"/>
    </xf>
    <xf numFmtId="22" fontId="27" fillId="0" borderId="23" xfId="0" applyNumberFormat="1" applyFont="1" applyBorder="1" applyAlignment="1">
      <alignment horizontal="right" vertical="center"/>
    </xf>
    <xf numFmtId="22" fontId="27" fillId="0" borderId="24" xfId="0" applyNumberFormat="1" applyFont="1" applyBorder="1" applyAlignment="1">
      <alignment horizontal="right" vertical="center"/>
    </xf>
    <xf numFmtId="0" fontId="23" fillId="0" borderId="1" xfId="0" applyFont="1" applyBorder="1">
      <alignment vertical="top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3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V0385 Cas - O-C Diagr.</a:t>
            </a:r>
          </a:p>
        </c:rich>
      </c:tx>
      <c:layout>
        <c:manualLayout>
          <c:xMode val="edge"/>
          <c:yMode val="edge"/>
          <c:x val="0.36274561268076783"/>
          <c:y val="3.7288135593220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5118376478209"/>
          <c:y val="0.15932229760708688"/>
          <c:w val="0.82189673632929994"/>
          <c:h val="0.59322132087745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E3-4A2D-8045-E6B8888EF0F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0">
                  <c:v>-2.4999999997817213E-2</c:v>
                </c:pt>
                <c:pt idx="2">
                  <c:v>-3.7427997012855485E-3</c:v>
                </c:pt>
                <c:pt idx="3">
                  <c:v>-0.29179917349756579</c:v>
                </c:pt>
                <c:pt idx="4">
                  <c:v>-0.56216979151940905</c:v>
                </c:pt>
                <c:pt idx="5">
                  <c:v>-0.51516979152074782</c:v>
                </c:pt>
                <c:pt idx="6">
                  <c:v>-0.95319714074867079</c:v>
                </c:pt>
                <c:pt idx="7">
                  <c:v>-0.96502567388233729</c:v>
                </c:pt>
                <c:pt idx="8">
                  <c:v>-3.658703164626786</c:v>
                </c:pt>
                <c:pt idx="9">
                  <c:v>-3.7974459643373848</c:v>
                </c:pt>
                <c:pt idx="10">
                  <c:v>-3.7514459643352893</c:v>
                </c:pt>
                <c:pt idx="11">
                  <c:v>-3.8245313626975985</c:v>
                </c:pt>
                <c:pt idx="12">
                  <c:v>-3.7780170737896697</c:v>
                </c:pt>
                <c:pt idx="13">
                  <c:v>-3.7299313403636916</c:v>
                </c:pt>
                <c:pt idx="14">
                  <c:v>-3.9745880715636304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E3-4A2D-8045-E6B8888EF0F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15">
                  <c:v>-9.7097013702586992</c:v>
                </c:pt>
                <c:pt idx="16">
                  <c:v>-9.5769980083932751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E3-4A2D-8045-E6B8888EF0F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17">
                  <c:v>-9.7097013702586992</c:v>
                </c:pt>
                <c:pt idx="18">
                  <c:v>-10.022311135733617</c:v>
                </c:pt>
                <c:pt idx="19">
                  <c:v>-10.617095283167146</c:v>
                </c:pt>
                <c:pt idx="20">
                  <c:v>-9.9093649071655818</c:v>
                </c:pt>
                <c:pt idx="21">
                  <c:v>-10.047664549761976</c:v>
                </c:pt>
                <c:pt idx="22">
                  <c:v>-10.500906210225367</c:v>
                </c:pt>
                <c:pt idx="23">
                  <c:v>-10.510191898982157</c:v>
                </c:pt>
                <c:pt idx="24">
                  <c:v>-9.2215772638446651</c:v>
                </c:pt>
                <c:pt idx="25">
                  <c:v>-9.3562769064301392</c:v>
                </c:pt>
                <c:pt idx="26">
                  <c:v>-9.4022482169311843</c:v>
                </c:pt>
                <c:pt idx="27">
                  <c:v>-9.5879477478374611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E3-4A2D-8045-E6B8888EF0F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E3-4A2D-8045-E6B8888EF0F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E3-4A2D-8045-E6B8888EF0F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E3-4A2D-8045-E6B8888EF0F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'Active 1'!$D$21:$D$1211</c:f>
                <c:numCache>
                  <c:formatCode>General</c:formatCode>
                  <c:ptCount val="119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1'!$D$21:$D$1211</c:f>
                <c:numCache>
                  <c:formatCode>General</c:formatCode>
                  <c:ptCount val="119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-0.47206794636177118</c:v>
                </c:pt>
                <c:pt idx="1">
                  <c:v>-0.47206794636177118</c:v>
                </c:pt>
                <c:pt idx="2">
                  <c:v>-0.48764561423242425</c:v>
                </c:pt>
                <c:pt idx="3">
                  <c:v>-0.69621327850061276</c:v>
                </c:pt>
                <c:pt idx="4">
                  <c:v>-0.91603148067538398</c:v>
                </c:pt>
                <c:pt idx="5">
                  <c:v>-0.91603148067538398</c:v>
                </c:pt>
                <c:pt idx="6">
                  <c:v>-1.2474896359231691</c:v>
                </c:pt>
                <c:pt idx="7">
                  <c:v>-1.2578747478369379</c:v>
                </c:pt>
                <c:pt idx="8">
                  <c:v>-3.4880775313187704</c:v>
                </c:pt>
                <c:pt idx="9">
                  <c:v>-3.5036551991894238</c:v>
                </c:pt>
                <c:pt idx="10">
                  <c:v>-3.5036551991894238</c:v>
                </c:pt>
                <c:pt idx="11">
                  <c:v>-3.5893323724780157</c:v>
                </c:pt>
                <c:pt idx="12">
                  <c:v>-3.5901977984708298</c:v>
                </c:pt>
                <c:pt idx="13">
                  <c:v>-3.5953903544277139</c:v>
                </c:pt>
                <c:pt idx="14">
                  <c:v>-3.7070303075007276</c:v>
                </c:pt>
                <c:pt idx="15">
                  <c:v>-7.8489591091088196</c:v>
                </c:pt>
                <c:pt idx="16">
                  <c:v>-8.7606853925384307</c:v>
                </c:pt>
                <c:pt idx="17">
                  <c:v>-8.8602093817120497</c:v>
                </c:pt>
                <c:pt idx="18">
                  <c:v>-9.0748350279299359</c:v>
                </c:pt>
                <c:pt idx="19">
                  <c:v>-9.4997591904016403</c:v>
                </c:pt>
                <c:pt idx="20">
                  <c:v>-9.9891575893379887</c:v>
                </c:pt>
                <c:pt idx="21">
                  <c:v>-10.086085300533163</c:v>
                </c:pt>
                <c:pt idx="22">
                  <c:v>-10.410620047838439</c:v>
                </c:pt>
                <c:pt idx="23">
                  <c:v>-10.417543455780951</c:v>
                </c:pt>
                <c:pt idx="24">
                  <c:v>-10.512307601994088</c:v>
                </c:pt>
                <c:pt idx="25">
                  <c:v>-10.609235313189263</c:v>
                </c:pt>
                <c:pt idx="26">
                  <c:v>-10.641256074923383</c:v>
                </c:pt>
                <c:pt idx="27">
                  <c:v>-10.768473695867051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E3-4A2D-8045-E6B8888EF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701624"/>
        <c:axId val="1"/>
      </c:scatterChart>
      <c:valAx>
        <c:axId val="515701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4072701696609"/>
              <c:y val="0.82373023711019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5254308465679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701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6147221793354"/>
          <c:y val="0.9118658303305307"/>
          <c:w val="0.68300756523081674"/>
          <c:h val="6.77966101694915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V0385 Cas - O-C Diagr.</a:t>
            </a:r>
          </a:p>
        </c:rich>
      </c:tx>
      <c:layout>
        <c:manualLayout>
          <c:xMode val="edge"/>
          <c:yMode val="edge"/>
          <c:x val="0.3768331524541837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30213676896477"/>
          <c:y val="0.15878378378378377"/>
          <c:w val="0.83724400118848596"/>
          <c:h val="0.59459459459459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51-4F8E-9DA7-50C399A1087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0">
                  <c:v>-2.4999999997817213E-2</c:v>
                </c:pt>
                <c:pt idx="2">
                  <c:v>-3.7427997012855485E-3</c:v>
                </c:pt>
                <c:pt idx="3">
                  <c:v>-0.29179917349756579</c:v>
                </c:pt>
                <c:pt idx="4">
                  <c:v>-0.56216979151940905</c:v>
                </c:pt>
                <c:pt idx="5">
                  <c:v>-0.51516979152074782</c:v>
                </c:pt>
                <c:pt idx="6">
                  <c:v>-0.95319714074867079</c:v>
                </c:pt>
                <c:pt idx="7">
                  <c:v>-0.96502567388233729</c:v>
                </c:pt>
                <c:pt idx="8">
                  <c:v>-3.658703164626786</c:v>
                </c:pt>
                <c:pt idx="9">
                  <c:v>-3.7974459643373848</c:v>
                </c:pt>
                <c:pt idx="10">
                  <c:v>-3.7514459643352893</c:v>
                </c:pt>
                <c:pt idx="11">
                  <c:v>-3.8245313626975985</c:v>
                </c:pt>
                <c:pt idx="12">
                  <c:v>-3.7780170737896697</c:v>
                </c:pt>
                <c:pt idx="13">
                  <c:v>-3.7299313403636916</c:v>
                </c:pt>
                <c:pt idx="14">
                  <c:v>-3.9745880715636304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51-4F8E-9DA7-50C399A1087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  <c:pt idx="15">
                  <c:v>-9.7097013702586992</c:v>
                </c:pt>
                <c:pt idx="16">
                  <c:v>-9.5769980083932751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51-4F8E-9DA7-50C399A1087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17">
                  <c:v>-9.7097013702586992</c:v>
                </c:pt>
                <c:pt idx="18">
                  <c:v>-10.022311135733617</c:v>
                </c:pt>
                <c:pt idx="19">
                  <c:v>-10.617095283167146</c:v>
                </c:pt>
                <c:pt idx="20">
                  <c:v>-9.9093649071655818</c:v>
                </c:pt>
                <c:pt idx="21">
                  <c:v>-10.047664549761976</c:v>
                </c:pt>
                <c:pt idx="22">
                  <c:v>-10.500906210225367</c:v>
                </c:pt>
                <c:pt idx="23">
                  <c:v>-10.510191898982157</c:v>
                </c:pt>
                <c:pt idx="24">
                  <c:v>-9.2215772638446651</c:v>
                </c:pt>
                <c:pt idx="25">
                  <c:v>-9.3562769064301392</c:v>
                </c:pt>
                <c:pt idx="26">
                  <c:v>-9.4022482169311843</c:v>
                </c:pt>
                <c:pt idx="27">
                  <c:v>-9.5879477478374611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51-4F8E-9DA7-50C399A1087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51-4F8E-9DA7-50C399A1087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51-4F8E-9DA7-50C399A1087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51-4F8E-9DA7-50C399A1087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'Active 1'!$D$21:$D$1211</c:f>
                <c:numCache>
                  <c:formatCode>General</c:formatCode>
                  <c:ptCount val="119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1'!$D$21:$D$1211</c:f>
                <c:numCache>
                  <c:formatCode>General</c:formatCode>
                  <c:ptCount val="119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259</c:v>
                </c:pt>
                <c:pt idx="4">
                  <c:v>513</c:v>
                </c:pt>
                <c:pt idx="5">
                  <c:v>513</c:v>
                </c:pt>
                <c:pt idx="6">
                  <c:v>896</c:v>
                </c:pt>
                <c:pt idx="7">
                  <c:v>908</c:v>
                </c:pt>
                <c:pt idx="8">
                  <c:v>3485</c:v>
                </c:pt>
                <c:pt idx="9">
                  <c:v>3503</c:v>
                </c:pt>
                <c:pt idx="10">
                  <c:v>3503</c:v>
                </c:pt>
                <c:pt idx="11">
                  <c:v>3602</c:v>
                </c:pt>
                <c:pt idx="12">
                  <c:v>3603</c:v>
                </c:pt>
                <c:pt idx="13">
                  <c:v>3609</c:v>
                </c:pt>
                <c:pt idx="14">
                  <c:v>3738</c:v>
                </c:pt>
                <c:pt idx="15">
                  <c:v>8524</c:v>
                </c:pt>
                <c:pt idx="16">
                  <c:v>9577.5</c:v>
                </c:pt>
                <c:pt idx="17">
                  <c:v>9692.5</c:v>
                </c:pt>
                <c:pt idx="18">
                  <c:v>9940.5</c:v>
                </c:pt>
                <c:pt idx="19">
                  <c:v>10431.5</c:v>
                </c:pt>
                <c:pt idx="20">
                  <c:v>10997</c:v>
                </c:pt>
                <c:pt idx="21">
                  <c:v>11109</c:v>
                </c:pt>
                <c:pt idx="22">
                  <c:v>11484</c:v>
                </c:pt>
                <c:pt idx="23">
                  <c:v>11492</c:v>
                </c:pt>
                <c:pt idx="24">
                  <c:v>11601.5</c:v>
                </c:pt>
                <c:pt idx="25">
                  <c:v>11713.5</c:v>
                </c:pt>
                <c:pt idx="26">
                  <c:v>11750.5</c:v>
                </c:pt>
                <c:pt idx="27">
                  <c:v>11897.5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-0.47206794636177118</c:v>
                </c:pt>
                <c:pt idx="1">
                  <c:v>-0.47206794636177118</c:v>
                </c:pt>
                <c:pt idx="2">
                  <c:v>-0.48764561423242425</c:v>
                </c:pt>
                <c:pt idx="3">
                  <c:v>-0.69621327850061276</c:v>
                </c:pt>
                <c:pt idx="4">
                  <c:v>-0.91603148067538398</c:v>
                </c:pt>
                <c:pt idx="5">
                  <c:v>-0.91603148067538398</c:v>
                </c:pt>
                <c:pt idx="6">
                  <c:v>-1.2474896359231691</c:v>
                </c:pt>
                <c:pt idx="7">
                  <c:v>-1.2578747478369379</c:v>
                </c:pt>
                <c:pt idx="8">
                  <c:v>-3.4880775313187704</c:v>
                </c:pt>
                <c:pt idx="9">
                  <c:v>-3.5036551991894238</c:v>
                </c:pt>
                <c:pt idx="10">
                  <c:v>-3.5036551991894238</c:v>
                </c:pt>
                <c:pt idx="11">
                  <c:v>-3.5893323724780157</c:v>
                </c:pt>
                <c:pt idx="12">
                  <c:v>-3.5901977984708298</c:v>
                </c:pt>
                <c:pt idx="13">
                  <c:v>-3.5953903544277139</c:v>
                </c:pt>
                <c:pt idx="14">
                  <c:v>-3.7070303075007276</c:v>
                </c:pt>
                <c:pt idx="15">
                  <c:v>-7.8489591091088196</c:v>
                </c:pt>
                <c:pt idx="16">
                  <c:v>-8.7606853925384307</c:v>
                </c:pt>
                <c:pt idx="17">
                  <c:v>-8.8602093817120497</c:v>
                </c:pt>
                <c:pt idx="18">
                  <c:v>-9.0748350279299359</c:v>
                </c:pt>
                <c:pt idx="19">
                  <c:v>-9.4997591904016403</c:v>
                </c:pt>
                <c:pt idx="20">
                  <c:v>-9.9891575893379887</c:v>
                </c:pt>
                <c:pt idx="21">
                  <c:v>-10.086085300533163</c:v>
                </c:pt>
                <c:pt idx="22">
                  <c:v>-10.410620047838439</c:v>
                </c:pt>
                <c:pt idx="23">
                  <c:v>-10.417543455780951</c:v>
                </c:pt>
                <c:pt idx="24">
                  <c:v>-10.512307601994088</c:v>
                </c:pt>
                <c:pt idx="25">
                  <c:v>-10.609235313189263</c:v>
                </c:pt>
                <c:pt idx="26">
                  <c:v>-10.641256074923383</c:v>
                </c:pt>
                <c:pt idx="27">
                  <c:v>-10.768473695867051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51-4F8E-9DA7-50C399A10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706304"/>
        <c:axId val="1"/>
      </c:scatterChart>
      <c:valAx>
        <c:axId val="51570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59561579729219"/>
              <c:y val="0.82432432432432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0.354729729729729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706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7053517137336"/>
          <c:y val="0.91216216216216217"/>
          <c:w val="0.61290368762555714"/>
          <c:h val="6.75675675675675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V0385 Cas - O-C Diagr.</a:t>
            </a:r>
          </a:p>
        </c:rich>
      </c:tx>
      <c:layout>
        <c:manualLayout>
          <c:xMode val="edge"/>
          <c:yMode val="edge"/>
          <c:x val="0.36274561268076783"/>
          <c:y val="3.7288135593220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35315237111989"/>
          <c:y val="0.15932229760708688"/>
          <c:w val="0.81372678865207038"/>
          <c:h val="0.59322132087745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-10431</c:v>
                </c:pt>
                <c:pt idx="1">
                  <c:v>-10431</c:v>
                </c:pt>
                <c:pt idx="2">
                  <c:v>-10413</c:v>
                </c:pt>
                <c:pt idx="3">
                  <c:v>-10172</c:v>
                </c:pt>
                <c:pt idx="4">
                  <c:v>-9918</c:v>
                </c:pt>
                <c:pt idx="5">
                  <c:v>-9918</c:v>
                </c:pt>
                <c:pt idx="6">
                  <c:v>-9535</c:v>
                </c:pt>
                <c:pt idx="7">
                  <c:v>-9523</c:v>
                </c:pt>
                <c:pt idx="8">
                  <c:v>-6946</c:v>
                </c:pt>
                <c:pt idx="9">
                  <c:v>-6928</c:v>
                </c:pt>
                <c:pt idx="10">
                  <c:v>-6928</c:v>
                </c:pt>
                <c:pt idx="11">
                  <c:v>-6829</c:v>
                </c:pt>
                <c:pt idx="12">
                  <c:v>-6828</c:v>
                </c:pt>
                <c:pt idx="13">
                  <c:v>-6822</c:v>
                </c:pt>
                <c:pt idx="14">
                  <c:v>-6693</c:v>
                </c:pt>
                <c:pt idx="15">
                  <c:v>-1907</c:v>
                </c:pt>
                <c:pt idx="16">
                  <c:v>-853</c:v>
                </c:pt>
                <c:pt idx="17">
                  <c:v>-738</c:v>
                </c:pt>
                <c:pt idx="18">
                  <c:v>-490</c:v>
                </c:pt>
                <c:pt idx="19">
                  <c:v>1</c:v>
                </c:pt>
                <c:pt idx="20">
                  <c:v>567</c:v>
                </c:pt>
                <c:pt idx="21">
                  <c:v>679</c:v>
                </c:pt>
                <c:pt idx="22">
                  <c:v>1054</c:v>
                </c:pt>
                <c:pt idx="23">
                  <c:v>1062</c:v>
                </c:pt>
                <c:pt idx="24">
                  <c:v>1172</c:v>
                </c:pt>
                <c:pt idx="25">
                  <c:v>1284</c:v>
                </c:pt>
                <c:pt idx="26">
                  <c:v>1321</c:v>
                </c:pt>
                <c:pt idx="27">
                  <c:v>1468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3C-4ECF-8AD1-B891140FD28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-10431</c:v>
                </c:pt>
                <c:pt idx="1">
                  <c:v>-10431</c:v>
                </c:pt>
                <c:pt idx="2">
                  <c:v>-10413</c:v>
                </c:pt>
                <c:pt idx="3">
                  <c:v>-10172</c:v>
                </c:pt>
                <c:pt idx="4">
                  <c:v>-9918</c:v>
                </c:pt>
                <c:pt idx="5">
                  <c:v>-9918</c:v>
                </c:pt>
                <c:pt idx="6">
                  <c:v>-9535</c:v>
                </c:pt>
                <c:pt idx="7">
                  <c:v>-9523</c:v>
                </c:pt>
                <c:pt idx="8">
                  <c:v>-6946</c:v>
                </c:pt>
                <c:pt idx="9">
                  <c:v>-6928</c:v>
                </c:pt>
                <c:pt idx="10">
                  <c:v>-6928</c:v>
                </c:pt>
                <c:pt idx="11">
                  <c:v>-6829</c:v>
                </c:pt>
                <c:pt idx="12">
                  <c:v>-6828</c:v>
                </c:pt>
                <c:pt idx="13">
                  <c:v>-6822</c:v>
                </c:pt>
                <c:pt idx="14">
                  <c:v>-6693</c:v>
                </c:pt>
                <c:pt idx="15">
                  <c:v>-1907</c:v>
                </c:pt>
                <c:pt idx="16">
                  <c:v>-853</c:v>
                </c:pt>
                <c:pt idx="17">
                  <c:v>-738</c:v>
                </c:pt>
                <c:pt idx="18">
                  <c:v>-490</c:v>
                </c:pt>
                <c:pt idx="19">
                  <c:v>1</c:v>
                </c:pt>
                <c:pt idx="20">
                  <c:v>567</c:v>
                </c:pt>
                <c:pt idx="21">
                  <c:v>679</c:v>
                </c:pt>
                <c:pt idx="22">
                  <c:v>1054</c:v>
                </c:pt>
                <c:pt idx="23">
                  <c:v>1062</c:v>
                </c:pt>
                <c:pt idx="24">
                  <c:v>1172</c:v>
                </c:pt>
                <c:pt idx="25">
                  <c:v>1284</c:v>
                </c:pt>
                <c:pt idx="26">
                  <c:v>1321</c:v>
                </c:pt>
                <c:pt idx="27">
                  <c:v>1468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0">
                  <c:v>6.5273570104181999E-2</c:v>
                </c:pt>
                <c:pt idx="2">
                  <c:v>0.10482952652091626</c:v>
                </c:pt>
                <c:pt idx="3">
                  <c:v>6.1773165227350546E-2</c:v>
                </c:pt>
                <c:pt idx="4">
                  <c:v>4.9618328015640145E-2</c:v>
                </c:pt>
                <c:pt idx="5">
                  <c:v>9.6618328014301369E-2</c:v>
                </c:pt>
                <c:pt idx="6">
                  <c:v>4.7947845130693167E-2</c:v>
                </c:pt>
                <c:pt idx="7">
                  <c:v>4.8318482742615743E-2</c:v>
                </c:pt>
                <c:pt idx="8">
                  <c:v>-2.5587090087356046E-2</c:v>
                </c:pt>
                <c:pt idx="9">
                  <c:v>-0.14603113367775222</c:v>
                </c:pt>
                <c:pt idx="10">
                  <c:v>-0.10003113367565675</c:v>
                </c:pt>
                <c:pt idx="11">
                  <c:v>-7.2473373380489647E-2</c:v>
                </c:pt>
                <c:pt idx="12">
                  <c:v>-2.4942486903455574E-2</c:v>
                </c:pt>
                <c:pt idx="13">
                  <c:v>2.9242831900774036E-2</c:v>
                </c:pt>
                <c:pt idx="14">
                  <c:v>-8.4272813772258814E-2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3C-4ECF-8AD1-B891140FD28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-10431</c:v>
                </c:pt>
                <c:pt idx="1">
                  <c:v>-10431</c:v>
                </c:pt>
                <c:pt idx="2">
                  <c:v>-10413</c:v>
                </c:pt>
                <c:pt idx="3">
                  <c:v>-10172</c:v>
                </c:pt>
                <c:pt idx="4">
                  <c:v>-9918</c:v>
                </c:pt>
                <c:pt idx="5">
                  <c:v>-9918</c:v>
                </c:pt>
                <c:pt idx="6">
                  <c:v>-9535</c:v>
                </c:pt>
                <c:pt idx="7">
                  <c:v>-9523</c:v>
                </c:pt>
                <c:pt idx="8">
                  <c:v>-6946</c:v>
                </c:pt>
                <c:pt idx="9">
                  <c:v>-6928</c:v>
                </c:pt>
                <c:pt idx="10">
                  <c:v>-6928</c:v>
                </c:pt>
                <c:pt idx="11">
                  <c:v>-6829</c:v>
                </c:pt>
                <c:pt idx="12">
                  <c:v>-6828</c:v>
                </c:pt>
                <c:pt idx="13">
                  <c:v>-6822</c:v>
                </c:pt>
                <c:pt idx="14">
                  <c:v>-6693</c:v>
                </c:pt>
                <c:pt idx="15">
                  <c:v>-1907</c:v>
                </c:pt>
                <c:pt idx="16">
                  <c:v>-853</c:v>
                </c:pt>
                <c:pt idx="17">
                  <c:v>-738</c:v>
                </c:pt>
                <c:pt idx="18">
                  <c:v>-490</c:v>
                </c:pt>
                <c:pt idx="19">
                  <c:v>1</c:v>
                </c:pt>
                <c:pt idx="20">
                  <c:v>567</c:v>
                </c:pt>
                <c:pt idx="21">
                  <c:v>679</c:v>
                </c:pt>
                <c:pt idx="22">
                  <c:v>1054</c:v>
                </c:pt>
                <c:pt idx="23">
                  <c:v>1062</c:v>
                </c:pt>
                <c:pt idx="24">
                  <c:v>1172</c:v>
                </c:pt>
                <c:pt idx="25">
                  <c:v>1284</c:v>
                </c:pt>
                <c:pt idx="26">
                  <c:v>1321</c:v>
                </c:pt>
                <c:pt idx="27">
                  <c:v>1468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  <c:pt idx="15">
                  <c:v>-0.95395017953705974</c:v>
                </c:pt>
                <c:pt idx="16">
                  <c:v>-1.1654958426152007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3C-4ECF-8AD1-B891140FD28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-10431</c:v>
                </c:pt>
                <c:pt idx="1">
                  <c:v>-10431</c:v>
                </c:pt>
                <c:pt idx="2">
                  <c:v>-10413</c:v>
                </c:pt>
                <c:pt idx="3">
                  <c:v>-10172</c:v>
                </c:pt>
                <c:pt idx="4">
                  <c:v>-9918</c:v>
                </c:pt>
                <c:pt idx="5">
                  <c:v>-9918</c:v>
                </c:pt>
                <c:pt idx="6">
                  <c:v>-9535</c:v>
                </c:pt>
                <c:pt idx="7">
                  <c:v>-9523</c:v>
                </c:pt>
                <c:pt idx="8">
                  <c:v>-6946</c:v>
                </c:pt>
                <c:pt idx="9">
                  <c:v>-6928</c:v>
                </c:pt>
                <c:pt idx="10">
                  <c:v>-6928</c:v>
                </c:pt>
                <c:pt idx="11">
                  <c:v>-6829</c:v>
                </c:pt>
                <c:pt idx="12">
                  <c:v>-6828</c:v>
                </c:pt>
                <c:pt idx="13">
                  <c:v>-6822</c:v>
                </c:pt>
                <c:pt idx="14">
                  <c:v>-6693</c:v>
                </c:pt>
                <c:pt idx="15">
                  <c:v>-1907</c:v>
                </c:pt>
                <c:pt idx="16">
                  <c:v>-853</c:v>
                </c:pt>
                <c:pt idx="17">
                  <c:v>-738</c:v>
                </c:pt>
                <c:pt idx="18">
                  <c:v>-490</c:v>
                </c:pt>
                <c:pt idx="19">
                  <c:v>1</c:v>
                </c:pt>
                <c:pt idx="20">
                  <c:v>567</c:v>
                </c:pt>
                <c:pt idx="21">
                  <c:v>679</c:v>
                </c:pt>
                <c:pt idx="22">
                  <c:v>1054</c:v>
                </c:pt>
                <c:pt idx="23">
                  <c:v>1062</c:v>
                </c:pt>
                <c:pt idx="24">
                  <c:v>1172</c:v>
                </c:pt>
                <c:pt idx="25">
                  <c:v>1284</c:v>
                </c:pt>
                <c:pt idx="26">
                  <c:v>1321</c:v>
                </c:pt>
                <c:pt idx="27">
                  <c:v>1468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17">
                  <c:v>-1.1812904848193284</c:v>
                </c:pt>
                <c:pt idx="18">
                  <c:v>-1.2417840548514505</c:v>
                </c:pt>
                <c:pt idx="19">
                  <c:v>-1.3374187992303632</c:v>
                </c:pt>
                <c:pt idx="20">
                  <c:v>-1.4700370585342171</c:v>
                </c:pt>
                <c:pt idx="21">
                  <c:v>-1.4944777741548023</c:v>
                </c:pt>
                <c:pt idx="22">
                  <c:v>-1.5664953487794264</c:v>
                </c:pt>
                <c:pt idx="23">
                  <c:v>-1.5676482570415828</c:v>
                </c:pt>
                <c:pt idx="24">
                  <c:v>-1.5829507456001011</c:v>
                </c:pt>
                <c:pt idx="25">
                  <c:v>-1.6037914612170425</c:v>
                </c:pt>
                <c:pt idx="26">
                  <c:v>-1.6121486619158532</c:v>
                </c:pt>
                <c:pt idx="27">
                  <c:v>-1.6484083511677454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3C-4ECF-8AD1-B891140FD28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-10431</c:v>
                </c:pt>
                <c:pt idx="1">
                  <c:v>-10431</c:v>
                </c:pt>
                <c:pt idx="2">
                  <c:v>-10413</c:v>
                </c:pt>
                <c:pt idx="3">
                  <c:v>-10172</c:v>
                </c:pt>
                <c:pt idx="4">
                  <c:v>-9918</c:v>
                </c:pt>
                <c:pt idx="5">
                  <c:v>-9918</c:v>
                </c:pt>
                <c:pt idx="6">
                  <c:v>-9535</c:v>
                </c:pt>
                <c:pt idx="7">
                  <c:v>-9523</c:v>
                </c:pt>
                <c:pt idx="8">
                  <c:v>-6946</c:v>
                </c:pt>
                <c:pt idx="9">
                  <c:v>-6928</c:v>
                </c:pt>
                <c:pt idx="10">
                  <c:v>-6928</c:v>
                </c:pt>
                <c:pt idx="11">
                  <c:v>-6829</c:v>
                </c:pt>
                <c:pt idx="12">
                  <c:v>-6828</c:v>
                </c:pt>
                <c:pt idx="13">
                  <c:v>-6822</c:v>
                </c:pt>
                <c:pt idx="14">
                  <c:v>-6693</c:v>
                </c:pt>
                <c:pt idx="15">
                  <c:v>-1907</c:v>
                </c:pt>
                <c:pt idx="16">
                  <c:v>-853</c:v>
                </c:pt>
                <c:pt idx="17">
                  <c:v>-738</c:v>
                </c:pt>
                <c:pt idx="18">
                  <c:v>-490</c:v>
                </c:pt>
                <c:pt idx="19">
                  <c:v>1</c:v>
                </c:pt>
                <c:pt idx="20">
                  <c:v>567</c:v>
                </c:pt>
                <c:pt idx="21">
                  <c:v>679</c:v>
                </c:pt>
                <c:pt idx="22">
                  <c:v>1054</c:v>
                </c:pt>
                <c:pt idx="23">
                  <c:v>1062</c:v>
                </c:pt>
                <c:pt idx="24">
                  <c:v>1172</c:v>
                </c:pt>
                <c:pt idx="25">
                  <c:v>1284</c:v>
                </c:pt>
                <c:pt idx="26">
                  <c:v>1321</c:v>
                </c:pt>
                <c:pt idx="27">
                  <c:v>1468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3C-4ECF-8AD1-B891140FD28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-10431</c:v>
                </c:pt>
                <c:pt idx="1">
                  <c:v>-10431</c:v>
                </c:pt>
                <c:pt idx="2">
                  <c:v>-10413</c:v>
                </c:pt>
                <c:pt idx="3">
                  <c:v>-10172</c:v>
                </c:pt>
                <c:pt idx="4">
                  <c:v>-9918</c:v>
                </c:pt>
                <c:pt idx="5">
                  <c:v>-9918</c:v>
                </c:pt>
                <c:pt idx="6">
                  <c:v>-9535</c:v>
                </c:pt>
                <c:pt idx="7">
                  <c:v>-9523</c:v>
                </c:pt>
                <c:pt idx="8">
                  <c:v>-6946</c:v>
                </c:pt>
                <c:pt idx="9">
                  <c:v>-6928</c:v>
                </c:pt>
                <c:pt idx="10">
                  <c:v>-6928</c:v>
                </c:pt>
                <c:pt idx="11">
                  <c:v>-6829</c:v>
                </c:pt>
                <c:pt idx="12">
                  <c:v>-6828</c:v>
                </c:pt>
                <c:pt idx="13">
                  <c:v>-6822</c:v>
                </c:pt>
                <c:pt idx="14">
                  <c:v>-6693</c:v>
                </c:pt>
                <c:pt idx="15">
                  <c:v>-1907</c:v>
                </c:pt>
                <c:pt idx="16">
                  <c:v>-853</c:v>
                </c:pt>
                <c:pt idx="17">
                  <c:v>-738</c:v>
                </c:pt>
                <c:pt idx="18">
                  <c:v>-490</c:v>
                </c:pt>
                <c:pt idx="19">
                  <c:v>1</c:v>
                </c:pt>
                <c:pt idx="20">
                  <c:v>567</c:v>
                </c:pt>
                <c:pt idx="21">
                  <c:v>679</c:v>
                </c:pt>
                <c:pt idx="22">
                  <c:v>1054</c:v>
                </c:pt>
                <c:pt idx="23">
                  <c:v>1062</c:v>
                </c:pt>
                <c:pt idx="24">
                  <c:v>1172</c:v>
                </c:pt>
                <c:pt idx="25">
                  <c:v>1284</c:v>
                </c:pt>
                <c:pt idx="26">
                  <c:v>1321</c:v>
                </c:pt>
                <c:pt idx="27">
                  <c:v>1468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3C-4ECF-8AD1-B891140FD28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-10431</c:v>
                </c:pt>
                <c:pt idx="1">
                  <c:v>-10431</c:v>
                </c:pt>
                <c:pt idx="2">
                  <c:v>-10413</c:v>
                </c:pt>
                <c:pt idx="3">
                  <c:v>-10172</c:v>
                </c:pt>
                <c:pt idx="4">
                  <c:v>-9918</c:v>
                </c:pt>
                <c:pt idx="5">
                  <c:v>-9918</c:v>
                </c:pt>
                <c:pt idx="6">
                  <c:v>-9535</c:v>
                </c:pt>
                <c:pt idx="7">
                  <c:v>-9523</c:v>
                </c:pt>
                <c:pt idx="8">
                  <c:v>-6946</c:v>
                </c:pt>
                <c:pt idx="9">
                  <c:v>-6928</c:v>
                </c:pt>
                <c:pt idx="10">
                  <c:v>-6928</c:v>
                </c:pt>
                <c:pt idx="11">
                  <c:v>-6829</c:v>
                </c:pt>
                <c:pt idx="12">
                  <c:v>-6828</c:v>
                </c:pt>
                <c:pt idx="13">
                  <c:v>-6822</c:v>
                </c:pt>
                <c:pt idx="14">
                  <c:v>-6693</c:v>
                </c:pt>
                <c:pt idx="15">
                  <c:v>-1907</c:v>
                </c:pt>
                <c:pt idx="16">
                  <c:v>-853</c:v>
                </c:pt>
                <c:pt idx="17">
                  <c:v>-738</c:v>
                </c:pt>
                <c:pt idx="18">
                  <c:v>-490</c:v>
                </c:pt>
                <c:pt idx="19">
                  <c:v>1</c:v>
                </c:pt>
                <c:pt idx="20">
                  <c:v>567</c:v>
                </c:pt>
                <c:pt idx="21">
                  <c:v>679</c:v>
                </c:pt>
                <c:pt idx="22">
                  <c:v>1054</c:v>
                </c:pt>
                <c:pt idx="23">
                  <c:v>1062</c:v>
                </c:pt>
                <c:pt idx="24">
                  <c:v>1172</c:v>
                </c:pt>
                <c:pt idx="25">
                  <c:v>1284</c:v>
                </c:pt>
                <c:pt idx="26">
                  <c:v>1321</c:v>
                </c:pt>
                <c:pt idx="27">
                  <c:v>1468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3C-4ECF-8AD1-B891140FD28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'Active 2'!$D$21:$D$1211</c:f>
                <c:numCache>
                  <c:formatCode>General</c:formatCode>
                  <c:ptCount val="119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'Active 2'!$D$21:$D$1211</c:f>
                <c:numCache>
                  <c:formatCode>General</c:formatCode>
                  <c:ptCount val="1191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1.1000000000000001E-3</c:v>
                  </c:pt>
                  <c:pt idx="17">
                    <c:v>2.0000000000000001E-4</c:v>
                  </c:pt>
                  <c:pt idx="18">
                    <c:v>1E-3</c:v>
                  </c:pt>
                  <c:pt idx="19">
                    <c:v>1E-4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-10431</c:v>
                </c:pt>
                <c:pt idx="1">
                  <c:v>-10431</c:v>
                </c:pt>
                <c:pt idx="2">
                  <c:v>-10413</c:v>
                </c:pt>
                <c:pt idx="3">
                  <c:v>-10172</c:v>
                </c:pt>
                <c:pt idx="4">
                  <c:v>-9918</c:v>
                </c:pt>
                <c:pt idx="5">
                  <c:v>-9918</c:v>
                </c:pt>
                <c:pt idx="6">
                  <c:v>-9535</c:v>
                </c:pt>
                <c:pt idx="7">
                  <c:v>-9523</c:v>
                </c:pt>
                <c:pt idx="8">
                  <c:v>-6946</c:v>
                </c:pt>
                <c:pt idx="9">
                  <c:v>-6928</c:v>
                </c:pt>
                <c:pt idx="10">
                  <c:v>-6928</c:v>
                </c:pt>
                <c:pt idx="11">
                  <c:v>-6829</c:v>
                </c:pt>
                <c:pt idx="12">
                  <c:v>-6828</c:v>
                </c:pt>
                <c:pt idx="13">
                  <c:v>-6822</c:v>
                </c:pt>
                <c:pt idx="14">
                  <c:v>-6693</c:v>
                </c:pt>
                <c:pt idx="15">
                  <c:v>-1907</c:v>
                </c:pt>
                <c:pt idx="16">
                  <c:v>-853</c:v>
                </c:pt>
                <c:pt idx="17">
                  <c:v>-738</c:v>
                </c:pt>
                <c:pt idx="18">
                  <c:v>-490</c:v>
                </c:pt>
                <c:pt idx="19">
                  <c:v>1</c:v>
                </c:pt>
                <c:pt idx="20">
                  <c:v>567</c:v>
                </c:pt>
                <c:pt idx="21">
                  <c:v>679</c:v>
                </c:pt>
                <c:pt idx="22">
                  <c:v>1054</c:v>
                </c:pt>
                <c:pt idx="23">
                  <c:v>1062</c:v>
                </c:pt>
                <c:pt idx="24">
                  <c:v>1172</c:v>
                </c:pt>
                <c:pt idx="25">
                  <c:v>1284</c:v>
                </c:pt>
                <c:pt idx="26">
                  <c:v>1321</c:v>
                </c:pt>
                <c:pt idx="27">
                  <c:v>1468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13">
                  <c:v>7.0118103151970645E-2</c:v>
                </c:pt>
                <c:pt idx="14">
                  <c:v>4.3383179626187429E-2</c:v>
                </c:pt>
                <c:pt idx="15">
                  <c:v>-0.94850320792729081</c:v>
                </c:pt>
                <c:pt idx="16">
                  <c:v>-1.1669420404557835</c:v>
                </c:pt>
                <c:pt idx="17">
                  <c:v>-1.1907754994128772</c:v>
                </c:pt>
                <c:pt idx="18">
                  <c:v>-1.2421728717725224</c:v>
                </c:pt>
                <c:pt idx="19">
                  <c:v>-1.3439313791458525</c:v>
                </c:pt>
                <c:pt idx="20">
                  <c:v>-1.4612334467085915</c:v>
                </c:pt>
                <c:pt idx="21">
                  <c:v>-1.4844451632581088</c:v>
                </c:pt>
                <c:pt idx="22">
                  <c:v>-1.5621629642051531</c:v>
                </c:pt>
                <c:pt idx="23">
                  <c:v>-1.5638209439586901</c:v>
                </c:pt>
                <c:pt idx="24">
                  <c:v>-1.586618165569823</c:v>
                </c:pt>
                <c:pt idx="25">
                  <c:v>-1.6098298821193402</c:v>
                </c:pt>
                <c:pt idx="26">
                  <c:v>-1.6174980384794486</c:v>
                </c:pt>
                <c:pt idx="27">
                  <c:v>-1.64796341645069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3C-4ECF-8AD1-B891140FD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380136"/>
        <c:axId val="1"/>
      </c:scatterChart>
      <c:valAx>
        <c:axId val="75238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97471394507066"/>
              <c:y val="0.82373023711019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5254308465679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380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4870910743997"/>
          <c:y val="0.9118658303305307"/>
          <c:w val="0.68300756523081674"/>
          <c:h val="6.77966101694915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V385 Cas - O-C Diagr.</a:t>
            </a:r>
          </a:p>
        </c:rich>
      </c:tx>
      <c:layout>
        <c:manualLayout>
          <c:xMode val="edge"/>
          <c:yMode val="edge"/>
          <c:x val="0.36274561268076783"/>
          <c:y val="3.7288135593220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152256229984"/>
          <c:y val="0.15932229760708688"/>
          <c:w val="0.8284326944710837"/>
          <c:h val="0.59322132087745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9689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91-41E0-8932-50F1BD1DC6CF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9689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9.2468079999962356</c:v>
                </c:pt>
                <c:pt idx="2">
                  <c:v>10.487417414020456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91-41E0-8932-50F1BD1DC6CF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9689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91-41E0-8932-50F1BD1DC6CF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9689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91-41E0-8932-50F1BD1DC6CF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9689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91-41E0-8932-50F1BD1DC6CF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9689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91-41E0-8932-50F1BD1DC6CF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9689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91-41E0-8932-50F1BD1DC6CF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9689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0.20049861857272688</c:v>
                </c:pt>
                <c:pt idx="1">
                  <c:v>9.2468079999962356</c:v>
                </c:pt>
                <c:pt idx="2">
                  <c:v>10.487417414020456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91-41E0-8932-50F1BD1D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711704"/>
        <c:axId val="1"/>
      </c:scatterChart>
      <c:valAx>
        <c:axId val="515711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07275316075684"/>
              <c:y val="0.82373023711019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5254308465679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711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483694440155764"/>
          <c:y val="0.9118658303305307"/>
          <c:w val="0.90686428902269567"/>
          <c:h val="0.979662440500022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V385 Cas - O-C Diagr.</a:t>
            </a:r>
          </a:p>
        </c:rich>
      </c:tx>
      <c:layout>
        <c:manualLayout>
          <c:xMode val="edge"/>
          <c:yMode val="edge"/>
          <c:x val="0.36274561268076783"/>
          <c:y val="3.7288135593220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5708958379542"/>
          <c:y val="0.15932229760708688"/>
          <c:w val="0.80719083051028662"/>
          <c:h val="0.59322132087745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9574</c:v>
                </c:pt>
                <c:pt idx="3">
                  <c:v>9689</c:v>
                </c:pt>
                <c:pt idx="4">
                  <c:v>9937</c:v>
                </c:pt>
              </c:numCache>
            </c:numRef>
          </c:xVal>
          <c:yVal>
            <c:numRef>
              <c:f>B!$H$21:$H$999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F8-4525-AFA8-11D0E08382BF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9574</c:v>
                </c:pt>
                <c:pt idx="3">
                  <c:v>9689</c:v>
                </c:pt>
                <c:pt idx="4">
                  <c:v>9937</c:v>
                </c:pt>
              </c:numCache>
            </c:numRef>
          </c:xVal>
          <c:yVal>
            <c:numRef>
              <c:f>B!$I$21:$I$999</c:f>
              <c:numCache>
                <c:formatCode>General</c:formatCode>
                <c:ptCount val="979"/>
                <c:pt idx="1">
                  <c:v>0.20049861857842188</c:v>
                </c:pt>
                <c:pt idx="2">
                  <c:v>0.33320198043657001</c:v>
                </c:pt>
                <c:pt idx="4">
                  <c:v>-0.11211114689649548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F8-4525-AFA8-11D0E08382BF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9574</c:v>
                </c:pt>
                <c:pt idx="3">
                  <c:v>9689</c:v>
                </c:pt>
                <c:pt idx="4">
                  <c:v>9937</c:v>
                </c:pt>
              </c:numCache>
            </c:numRef>
          </c:xVal>
          <c:yVal>
            <c:numRef>
              <c:f>B!$J$21:$J$999</c:f>
              <c:numCache>
                <c:formatCode>General</c:formatCode>
                <c:ptCount val="979"/>
                <c:pt idx="3">
                  <c:v>0.20049861857114593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F8-4525-AFA8-11D0E08382BF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9574</c:v>
                </c:pt>
                <c:pt idx="3">
                  <c:v>9689</c:v>
                </c:pt>
                <c:pt idx="4">
                  <c:v>9937</c:v>
                </c:pt>
              </c:numCache>
            </c:numRef>
          </c:xVal>
          <c:yVal>
            <c:numRef>
              <c:f>B!$K$21:$K$999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F8-4525-AFA8-11D0E08382BF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9574</c:v>
                </c:pt>
                <c:pt idx="3">
                  <c:v>9689</c:v>
                </c:pt>
                <c:pt idx="4">
                  <c:v>9937</c:v>
                </c:pt>
              </c:numCache>
            </c:numRef>
          </c:xVal>
          <c:yVal>
            <c:numRef>
              <c:f>B!$L$21:$L$999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F8-4525-AFA8-11D0E08382BF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9574</c:v>
                </c:pt>
                <c:pt idx="3">
                  <c:v>9689</c:v>
                </c:pt>
                <c:pt idx="4">
                  <c:v>9937</c:v>
                </c:pt>
              </c:numCache>
            </c:numRef>
          </c:xVal>
          <c:yVal>
            <c:numRef>
              <c:f>B!$M$21:$M$999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F8-4525-AFA8-11D0E08382BF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9574</c:v>
                </c:pt>
                <c:pt idx="3">
                  <c:v>9689</c:v>
                </c:pt>
                <c:pt idx="4">
                  <c:v>9937</c:v>
                </c:pt>
              </c:numCache>
            </c:numRef>
          </c:xVal>
          <c:yVal>
            <c:numRef>
              <c:f>B!$N$21:$N$999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F8-4525-AFA8-11D0E08382BF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B!$D$21:$D$1212</c:f>
                <c:numCache>
                  <c:formatCode>General</c:formatCode>
                  <c:ptCount val="1192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plus>
            <c:minus>
              <c:numRef>
                <c:f>B!$D$21:$D$1212</c:f>
                <c:numCache>
                  <c:formatCode>General</c:formatCode>
                  <c:ptCount val="1192"/>
                  <c:pt idx="2">
                    <c:v>0</c:v>
                  </c:pt>
                  <c:pt idx="3">
                    <c:v>2.0000000000000001E-4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8520.5</c:v>
                </c:pt>
                <c:pt idx="2">
                  <c:v>9574</c:v>
                </c:pt>
                <c:pt idx="3">
                  <c:v>9689</c:v>
                </c:pt>
                <c:pt idx="4">
                  <c:v>9937</c:v>
                </c:pt>
              </c:numCache>
            </c:numRef>
          </c:xVal>
          <c:yVal>
            <c:numRef>
              <c:f>B!$O$21:$O$999</c:f>
              <c:numCache>
                <c:formatCode>General</c:formatCode>
                <c:ptCount val="979"/>
                <c:pt idx="0">
                  <c:v>1.6310627640118702E-3</c:v>
                </c:pt>
                <c:pt idx="1">
                  <c:v>0.18697412810301639</c:v>
                </c:pt>
                <c:pt idx="2">
                  <c:v>0.20989049678262925</c:v>
                </c:pt>
                <c:pt idx="3">
                  <c:v>0.21239204628253952</c:v>
                </c:pt>
                <c:pt idx="4">
                  <c:v>0.21778669216060689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F8-4525-AFA8-11D0E0838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31528"/>
        <c:axId val="1"/>
      </c:scatterChart>
      <c:valAx>
        <c:axId val="514831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066165748894"/>
              <c:y val="0.82373023711019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5254308465679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831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830099668913934"/>
          <c:y val="0.9118658303305307"/>
          <c:w val="0.93300807987236889"/>
          <c:h val="0.979662440500022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0</xdr:row>
      <xdr:rowOff>0</xdr:rowOff>
    </xdr:from>
    <xdr:to>
      <xdr:col>17</xdr:col>
      <xdr:colOff>514349</xdr:colOff>
      <xdr:row>18</xdr:row>
      <xdr:rowOff>38100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092ABF9B-C9C9-FF4A-4E4C-09D554191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0</xdr:row>
      <xdr:rowOff>28575</xdr:rowOff>
    </xdr:from>
    <xdr:to>
      <xdr:col>27</xdr:col>
      <xdr:colOff>133350</xdr:colOff>
      <xdr:row>18</xdr:row>
      <xdr:rowOff>28575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CBBE960C-6283-6ACB-66B7-79607730F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20</xdr:col>
      <xdr:colOff>66674</xdr:colOff>
      <xdr:row>18</xdr:row>
      <xdr:rowOff>19050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241417E0-3A7E-C916-5359-DBE1E1A5F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38100</xdr:rowOff>
    </xdr:from>
    <xdr:to>
      <xdr:col>15</xdr:col>
      <xdr:colOff>0</xdr:colOff>
      <xdr:row>16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380D35-032E-322D-C0B3-0C3A8C6C5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15</xdr:col>
      <xdr:colOff>190500</xdr:colOff>
      <xdr:row>16</xdr:row>
      <xdr:rowOff>95250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2F12E614-3A7B-18B5-EE81-FCDF10953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760" TargetMode="External"/><Relationship Id="rId2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17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87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tabSelected="1" workbookViewId="0">
      <pane xSplit="13" ySplit="22" topLeftCell="N29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8.5703125" customWidth="1"/>
    <col min="2" max="2" width="5.140625" customWidth="1"/>
    <col min="3" max="3" width="11.85546875" style="60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22" ht="20.25" x14ac:dyDescent="0.2">
      <c r="A1" s="95" t="s">
        <v>151</v>
      </c>
      <c r="B1" s="7"/>
      <c r="C1" s="22"/>
      <c r="D1" s="7"/>
      <c r="E1" s="7"/>
    </row>
    <row r="2" spans="1:22" ht="12.95" customHeight="1" x14ac:dyDescent="0.2">
      <c r="A2" s="8" t="s">
        <v>25</v>
      </c>
      <c r="B2" s="7" t="s">
        <v>32</v>
      </c>
      <c r="C2" s="22"/>
      <c r="D2" s="7"/>
      <c r="E2" s="7"/>
    </row>
    <row r="3" spans="1:22" ht="12.95" customHeight="1" thickBot="1" x14ac:dyDescent="0.25">
      <c r="A3" s="8"/>
      <c r="B3" s="7"/>
      <c r="C3" s="82"/>
      <c r="D3" s="9"/>
      <c r="E3" s="7"/>
    </row>
    <row r="4" spans="1:22" ht="12.95" customHeight="1" thickBot="1" x14ac:dyDescent="0.25">
      <c r="A4" s="10" t="s">
        <v>0</v>
      </c>
      <c r="B4" s="11"/>
      <c r="C4" s="83">
        <v>26626.373</v>
      </c>
      <c r="D4" s="13">
        <v>2.8304239999999998</v>
      </c>
      <c r="E4" s="14"/>
    </row>
    <row r="5" spans="1:22" ht="12.95" customHeight="1" x14ac:dyDescent="0.2">
      <c r="A5" s="23" t="s">
        <v>40</v>
      </c>
      <c r="B5" s="8"/>
      <c r="C5" s="84">
        <v>-9.5</v>
      </c>
      <c r="D5" s="8" t="s">
        <v>41</v>
      </c>
      <c r="E5" s="7"/>
    </row>
    <row r="6" spans="1:22" ht="12.95" customHeight="1" x14ac:dyDescent="0.2">
      <c r="A6" s="10" t="s">
        <v>1</v>
      </c>
      <c r="B6" s="7"/>
      <c r="C6" s="22"/>
      <c r="D6" s="7"/>
      <c r="E6" s="7"/>
    </row>
    <row r="7" spans="1:22" ht="12.95" customHeight="1" x14ac:dyDescent="0.2">
      <c r="A7" s="8" t="s">
        <v>2</v>
      </c>
      <c r="B7" s="7"/>
      <c r="C7" s="94">
        <v>26626.373</v>
      </c>
      <c r="D7" s="7"/>
      <c r="E7" s="7"/>
    </row>
    <row r="8" spans="1:22" ht="12.95" customHeight="1" x14ac:dyDescent="0.2">
      <c r="A8" s="8" t="s">
        <v>3</v>
      </c>
      <c r="B8" s="7"/>
      <c r="C8" s="94">
        <v>2.8314857110945861</v>
      </c>
      <c r="D8" s="7"/>
      <c r="E8" s="7"/>
    </row>
    <row r="9" spans="1:22" ht="12.95" customHeight="1" x14ac:dyDescent="0.2">
      <c r="A9" s="36" t="s">
        <v>49</v>
      </c>
      <c r="B9" s="37">
        <v>23</v>
      </c>
      <c r="C9" s="26" t="str">
        <f>"F"&amp;B9</f>
        <v>F23</v>
      </c>
      <c r="D9" s="27" t="str">
        <f>"G"&amp;B9</f>
        <v>G23</v>
      </c>
    </row>
    <row r="10" spans="1:22" ht="12.95" customHeight="1" thickBot="1" x14ac:dyDescent="0.25">
      <c r="A10" s="8"/>
      <c r="B10" s="8"/>
      <c r="C10" s="85" t="s">
        <v>20</v>
      </c>
      <c r="D10" s="3" t="s">
        <v>21</v>
      </c>
      <c r="E10" s="8"/>
    </row>
    <row r="11" spans="1:22" ht="12.95" customHeight="1" x14ac:dyDescent="0.2">
      <c r="A11" s="8" t="s">
        <v>15</v>
      </c>
      <c r="B11" s="8"/>
      <c r="C11" s="26">
        <f ca="1">INTERCEPT(INDIRECT($D$9):G991,INDIRECT($C$9):F991)</f>
        <v>-0.47206794636177118</v>
      </c>
      <c r="D11" s="2"/>
      <c r="E11" s="8"/>
    </row>
    <row r="12" spans="1:22" ht="12.95" customHeight="1" x14ac:dyDescent="0.2">
      <c r="A12" s="8" t="s">
        <v>16</v>
      </c>
      <c r="B12" s="8"/>
      <c r="C12" s="26">
        <f ca="1">SLOPE(INDIRECT($D$9):G991,INDIRECT($C$9):F991)</f>
        <v>-8.6542599281406009E-4</v>
      </c>
      <c r="D12" s="2"/>
      <c r="E12" s="98" t="s">
        <v>155</v>
      </c>
      <c r="F12" s="99" t="s">
        <v>154</v>
      </c>
    </row>
    <row r="13" spans="1:22" ht="12.95" customHeight="1" x14ac:dyDescent="0.2">
      <c r="A13" s="8" t="s">
        <v>19</v>
      </c>
      <c r="B13" s="8"/>
      <c r="C13" s="60" t="s">
        <v>42</v>
      </c>
      <c r="E13" s="96" t="s">
        <v>57</v>
      </c>
      <c r="F13" s="100">
        <v>1</v>
      </c>
    </row>
    <row r="14" spans="1:22" ht="12.95" customHeight="1" x14ac:dyDescent="0.2">
      <c r="A14" s="8"/>
      <c r="B14" s="8"/>
      <c r="C14" s="44"/>
      <c r="E14" s="96" t="s">
        <v>43</v>
      </c>
      <c r="F14" s="102">
        <f ca="1">NOW()+15018.5+$C$5/24</f>
        <v>60541.715102893519</v>
      </c>
      <c r="V14" s="20"/>
    </row>
    <row r="15" spans="1:22" ht="12.95" customHeight="1" x14ac:dyDescent="0.2">
      <c r="A15" s="16" t="s">
        <v>17</v>
      </c>
      <c r="B15" s="8"/>
      <c r="C15" s="86">
        <f ca="1">(C7+C11)+(C8+C12)*INT(MAX(F21:F3532))</f>
        <v>60301.790463909419</v>
      </c>
      <c r="E15" s="96" t="s">
        <v>58</v>
      </c>
      <c r="F15" s="102">
        <f ca="1">ROUND(2*($F$14-$C$7)/$C$8,0)/2+$F$13</f>
        <v>11979</v>
      </c>
      <c r="V15" s="20"/>
    </row>
    <row r="16" spans="1:22" ht="12.95" customHeight="1" x14ac:dyDescent="0.2">
      <c r="A16" s="10" t="s">
        <v>4</v>
      </c>
      <c r="B16" s="8"/>
      <c r="C16" s="87">
        <f ca="1">+C8+C12</f>
        <v>2.8306202851017721</v>
      </c>
      <c r="E16" s="96" t="s">
        <v>44</v>
      </c>
      <c r="F16" s="102">
        <f ca="1">ROUND(2*($F$14-$C$15)/$C$16,0)/2+$F$13</f>
        <v>86</v>
      </c>
      <c r="V16" s="20"/>
    </row>
    <row r="17" spans="1:22" ht="12.95" customHeight="1" thickBot="1" x14ac:dyDescent="0.25">
      <c r="A17" s="29" t="s">
        <v>45</v>
      </c>
      <c r="B17" s="8"/>
      <c r="C17" s="93">
        <f>COUNT(C21:C2190)</f>
        <v>28</v>
      </c>
      <c r="E17" s="96" t="s">
        <v>152</v>
      </c>
      <c r="F17" s="103">
        <f ca="1">+$C$15+$C$16*$F$16-15018.5-$C$5/24</f>
        <v>45527.119641761507</v>
      </c>
      <c r="V17" s="20"/>
    </row>
    <row r="18" spans="1:22" ht="12.95" customHeight="1" thickTop="1" thickBot="1" x14ac:dyDescent="0.25">
      <c r="A18" s="10" t="s">
        <v>5</v>
      </c>
      <c r="B18" s="8"/>
      <c r="C18" s="88">
        <f ca="1">+C15</f>
        <v>60301.790463909419</v>
      </c>
      <c r="D18" s="34">
        <f ca="1">+C16</f>
        <v>2.8306202851017721</v>
      </c>
      <c r="E18" s="97" t="s">
        <v>153</v>
      </c>
      <c r="F18" s="104">
        <f ca="1">+($C$15+$C$16*$F$16)-($C$16/2)-15018.5-$C$5/24</f>
        <v>45525.704331618952</v>
      </c>
    </row>
    <row r="19" spans="1:22" ht="12.95" customHeight="1" thickTop="1" x14ac:dyDescent="0.2">
      <c r="E19" s="29"/>
      <c r="F19" s="32"/>
    </row>
    <row r="20" spans="1:22" ht="12.95" customHeight="1" thickBot="1" x14ac:dyDescent="0.25">
      <c r="A20" s="17" t="s">
        <v>6</v>
      </c>
      <c r="B20" s="17" t="s">
        <v>7</v>
      </c>
      <c r="C20" s="89" t="s">
        <v>8</v>
      </c>
      <c r="D20" s="17" t="s">
        <v>13</v>
      </c>
      <c r="E20" s="17" t="s">
        <v>9</v>
      </c>
      <c r="F20" s="3" t="s">
        <v>10</v>
      </c>
      <c r="G20" s="3" t="s">
        <v>11</v>
      </c>
      <c r="H20" s="5" t="s">
        <v>67</v>
      </c>
      <c r="I20" s="5" t="s">
        <v>70</v>
      </c>
      <c r="J20" s="5" t="s">
        <v>64</v>
      </c>
      <c r="K20" s="5" t="s">
        <v>62</v>
      </c>
      <c r="L20" s="5" t="s">
        <v>27</v>
      </c>
      <c r="M20" s="5" t="s">
        <v>28</v>
      </c>
      <c r="N20" s="5" t="s">
        <v>29</v>
      </c>
      <c r="O20" s="5" t="s">
        <v>23</v>
      </c>
      <c r="P20" s="4" t="s">
        <v>22</v>
      </c>
      <c r="Q20" s="3" t="s">
        <v>14</v>
      </c>
      <c r="R20" s="2"/>
    </row>
    <row r="21" spans="1:22" ht="12.95" customHeight="1" x14ac:dyDescent="0.2">
      <c r="A21" s="76" t="s">
        <v>76</v>
      </c>
      <c r="B21" s="78" t="s">
        <v>52</v>
      </c>
      <c r="C21" s="92">
        <v>26626.348000000002</v>
      </c>
      <c r="D21" s="76" t="s">
        <v>70</v>
      </c>
      <c r="E21" s="15">
        <f t="shared" ref="E21:E40" si="0">(C21-C$7)/C$8</f>
        <v>-8.829287006415016E-3</v>
      </c>
      <c r="F21">
        <f t="shared" ref="F21:F26" si="1">ROUND(2*E21,0)/2</f>
        <v>0</v>
      </c>
      <c r="G21">
        <f t="shared" ref="G21:G40" si="2">+C21-(C$7+F21*C$8)</f>
        <v>-2.4999999997817213E-2</v>
      </c>
      <c r="I21">
        <f>+G21</f>
        <v>-2.4999999997817213E-2</v>
      </c>
      <c r="O21">
        <f t="shared" ref="O21:O40" ca="1" si="3">+C$11+C$12*$F21</f>
        <v>-0.47206794636177118</v>
      </c>
      <c r="Q21" s="1">
        <f t="shared" ref="Q21:Q40" si="4">+C21-15018.5</f>
        <v>11607.848000000002</v>
      </c>
      <c r="R21" s="1"/>
      <c r="S21">
        <f t="shared" ref="S21:S40" ca="1" si="5">+(O21-G21)^2</f>
        <v>0.19986974866608323</v>
      </c>
    </row>
    <row r="22" spans="1:22" ht="12.95" customHeight="1" x14ac:dyDescent="0.2">
      <c r="A22" s="46" t="s">
        <v>12</v>
      </c>
      <c r="B22" s="46"/>
      <c r="C22" s="47">
        <f>C$4</f>
        <v>26626.373</v>
      </c>
      <c r="D22" s="47"/>
      <c r="E22" s="15">
        <f t="shared" si="0"/>
        <v>0</v>
      </c>
      <c r="F22">
        <f t="shared" si="1"/>
        <v>0</v>
      </c>
      <c r="G22">
        <f t="shared" si="2"/>
        <v>0</v>
      </c>
      <c r="H22">
        <v>0</v>
      </c>
      <c r="O22">
        <f t="shared" ca="1" si="3"/>
        <v>-0.47206794636177118</v>
      </c>
      <c r="Q22" s="1">
        <f t="shared" si="4"/>
        <v>11607.873</v>
      </c>
      <c r="R22" s="1"/>
      <c r="S22">
        <f t="shared" ca="1" si="5"/>
        <v>0.22284814598222008</v>
      </c>
    </row>
    <row r="23" spans="1:22" ht="12.95" customHeight="1" x14ac:dyDescent="0.2">
      <c r="A23" s="75" t="s">
        <v>76</v>
      </c>
      <c r="B23" s="77" t="s">
        <v>52</v>
      </c>
      <c r="C23" s="90">
        <v>26677.335999999999</v>
      </c>
      <c r="D23" s="75" t="s">
        <v>70</v>
      </c>
      <c r="E23" s="15">
        <f t="shared" si="0"/>
        <v>17.998678149888537</v>
      </c>
      <c r="F23">
        <f t="shared" si="1"/>
        <v>18</v>
      </c>
      <c r="G23">
        <f t="shared" si="2"/>
        <v>-3.7427997012855485E-3</v>
      </c>
      <c r="I23">
        <f t="shared" ref="I23:I35" si="6">+G23</f>
        <v>-3.7427997012855485E-3</v>
      </c>
      <c r="O23">
        <f t="shared" ca="1" si="3"/>
        <v>-0.48764561423242425</v>
      </c>
      <c r="Q23" s="1">
        <f t="shared" si="4"/>
        <v>11658.835999999999</v>
      </c>
      <c r="R23" s="1"/>
      <c r="S23">
        <f t="shared" ca="1" si="5"/>
        <v>0.23416193391115761</v>
      </c>
    </row>
    <row r="24" spans="1:22" ht="12.95" customHeight="1" x14ac:dyDescent="0.2">
      <c r="A24" s="73" t="s">
        <v>76</v>
      </c>
      <c r="B24" s="74" t="s">
        <v>52</v>
      </c>
      <c r="C24" s="91">
        <v>27359.436000000002</v>
      </c>
      <c r="D24" s="73" t="s">
        <v>70</v>
      </c>
      <c r="E24" s="15">
        <f t="shared" si="0"/>
        <v>258.89694485394983</v>
      </c>
      <c r="F24">
        <f t="shared" si="1"/>
        <v>259</v>
      </c>
      <c r="G24">
        <f t="shared" si="2"/>
        <v>-0.29179917349756579</v>
      </c>
      <c r="I24">
        <f t="shared" si="6"/>
        <v>-0.29179917349756579</v>
      </c>
      <c r="O24">
        <f t="shared" ca="1" si="3"/>
        <v>-0.69621327850061276</v>
      </c>
      <c r="Q24" s="1">
        <f t="shared" si="4"/>
        <v>12340.936000000002</v>
      </c>
      <c r="R24" s="1"/>
      <c r="S24">
        <f t="shared" ca="1" si="5"/>
        <v>0.16355076832541551</v>
      </c>
    </row>
    <row r="25" spans="1:22" ht="12.95" customHeight="1" x14ac:dyDescent="0.2">
      <c r="A25" s="73" t="s">
        <v>76</v>
      </c>
      <c r="B25" s="74" t="s">
        <v>52</v>
      </c>
      <c r="C25" s="91">
        <v>28078.363000000001</v>
      </c>
      <c r="D25" s="73" t="s">
        <v>70</v>
      </c>
      <c r="E25" s="15">
        <f t="shared" si="0"/>
        <v>512.80145766255566</v>
      </c>
      <c r="F25">
        <f t="shared" si="1"/>
        <v>513</v>
      </c>
      <c r="G25">
        <f t="shared" si="2"/>
        <v>-0.56216979151940905</v>
      </c>
      <c r="I25">
        <f t="shared" si="6"/>
        <v>-0.56216979151940905</v>
      </c>
      <c r="O25">
        <f t="shared" ca="1" si="3"/>
        <v>-0.91603148067538398</v>
      </c>
      <c r="Q25" s="1">
        <f t="shared" si="4"/>
        <v>13059.863000000001</v>
      </c>
      <c r="R25" s="1"/>
      <c r="S25">
        <f t="shared" ca="1" si="5"/>
        <v>0.12521809505231982</v>
      </c>
    </row>
    <row r="26" spans="1:22" ht="12.95" customHeight="1" x14ac:dyDescent="0.2">
      <c r="A26" s="73" t="s">
        <v>76</v>
      </c>
      <c r="B26" s="74" t="s">
        <v>52</v>
      </c>
      <c r="C26" s="91">
        <v>28078.41</v>
      </c>
      <c r="D26" s="73" t="s">
        <v>70</v>
      </c>
      <c r="E26" s="15">
        <f t="shared" si="0"/>
        <v>512.81805672212863</v>
      </c>
      <c r="F26">
        <f t="shared" si="1"/>
        <v>513</v>
      </c>
      <c r="G26">
        <f t="shared" si="2"/>
        <v>-0.51516979152074782</v>
      </c>
      <c r="I26">
        <f t="shared" si="6"/>
        <v>-0.51516979152074782</v>
      </c>
      <c r="O26">
        <f t="shared" ca="1" si="3"/>
        <v>-0.91603148067538398</v>
      </c>
      <c r="Q26" s="1">
        <f t="shared" si="4"/>
        <v>13059.91</v>
      </c>
      <c r="R26" s="1"/>
      <c r="S26">
        <f t="shared" ca="1" si="5"/>
        <v>0.16069009383190813</v>
      </c>
    </row>
    <row r="27" spans="1:22" ht="12.95" customHeight="1" x14ac:dyDescent="0.2">
      <c r="A27" s="73" t="s">
        <v>76</v>
      </c>
      <c r="B27" s="74" t="s">
        <v>52</v>
      </c>
      <c r="C27" s="91">
        <v>29162.431</v>
      </c>
      <c r="D27" s="73" t="s">
        <v>70</v>
      </c>
      <c r="E27" s="15">
        <f t="shared" si="0"/>
        <v>895.6633579547962</v>
      </c>
      <c r="F27" s="79">
        <f>ROUND(2*E27,0)/2+0.5</f>
        <v>896</v>
      </c>
      <c r="G27">
        <f t="shared" si="2"/>
        <v>-0.95319714074867079</v>
      </c>
      <c r="I27">
        <f t="shared" si="6"/>
        <v>-0.95319714074867079</v>
      </c>
      <c r="O27">
        <f t="shared" ca="1" si="3"/>
        <v>-1.2474896359231691</v>
      </c>
      <c r="Q27" s="1">
        <f t="shared" si="4"/>
        <v>14143.931</v>
      </c>
      <c r="R27" s="1"/>
      <c r="S27">
        <f t="shared" ca="1" si="5"/>
        <v>8.6608072716032103E-2</v>
      </c>
    </row>
    <row r="28" spans="1:22" ht="12.95" customHeight="1" x14ac:dyDescent="0.2">
      <c r="A28" s="73" t="s">
        <v>76</v>
      </c>
      <c r="B28" s="74" t="s">
        <v>52</v>
      </c>
      <c r="C28" s="91">
        <v>29196.397000000001</v>
      </c>
      <c r="D28" s="73" t="s">
        <v>70</v>
      </c>
      <c r="E28" s="15">
        <f t="shared" si="0"/>
        <v>907.65918045423939</v>
      </c>
      <c r="F28" s="79">
        <f>ROUND(2*E28,0)/2+0.5</f>
        <v>908</v>
      </c>
      <c r="G28">
        <f t="shared" si="2"/>
        <v>-0.96502567388233729</v>
      </c>
      <c r="I28">
        <f t="shared" si="6"/>
        <v>-0.96502567388233729</v>
      </c>
      <c r="O28">
        <f t="shared" ca="1" si="3"/>
        <v>-1.2578747478369379</v>
      </c>
      <c r="Q28" s="1">
        <f t="shared" si="4"/>
        <v>14177.897000000001</v>
      </c>
      <c r="R28" s="1"/>
      <c r="S28">
        <f t="shared" ca="1" si="5"/>
        <v>8.5760580116067117E-2</v>
      </c>
    </row>
    <row r="29" spans="1:22" ht="12.95" customHeight="1" x14ac:dyDescent="0.2">
      <c r="A29" s="73" t="s">
        <v>99</v>
      </c>
      <c r="B29" s="74" t="s">
        <v>52</v>
      </c>
      <c r="C29" s="91">
        <v>36490.442000000003</v>
      </c>
      <c r="D29" s="73" t="s">
        <v>70</v>
      </c>
      <c r="E29" s="15">
        <f t="shared" si="0"/>
        <v>3483.7078503874154</v>
      </c>
      <c r="F29" s="80">
        <f t="shared" ref="F29:F35" si="7">ROUND(2*E29,0)/2+1.5</f>
        <v>3485</v>
      </c>
      <c r="G29">
        <f t="shared" si="2"/>
        <v>-3.658703164626786</v>
      </c>
      <c r="I29">
        <f t="shared" si="6"/>
        <v>-3.658703164626786</v>
      </c>
      <c r="O29">
        <f t="shared" ca="1" si="3"/>
        <v>-3.4880775313187704</v>
      </c>
      <c r="Q29" s="1">
        <f t="shared" si="4"/>
        <v>21471.942000000003</v>
      </c>
      <c r="R29" s="1"/>
      <c r="S29">
        <f t="shared" ca="1" si="5"/>
        <v>2.9113106741761405E-2</v>
      </c>
    </row>
    <row r="30" spans="1:22" ht="12.95" customHeight="1" x14ac:dyDescent="0.2">
      <c r="A30" s="73" t="s">
        <v>76</v>
      </c>
      <c r="B30" s="74" t="s">
        <v>52</v>
      </c>
      <c r="C30" s="91">
        <v>36541.269999999997</v>
      </c>
      <c r="D30" s="73" t="s">
        <v>70</v>
      </c>
      <c r="E30" s="15">
        <f t="shared" si="0"/>
        <v>3501.6588503874632</v>
      </c>
      <c r="F30" s="80">
        <f t="shared" si="7"/>
        <v>3503</v>
      </c>
      <c r="G30">
        <f t="shared" si="2"/>
        <v>-3.7974459643373848</v>
      </c>
      <c r="I30">
        <f t="shared" si="6"/>
        <v>-3.7974459643373848</v>
      </c>
      <c r="O30">
        <f t="shared" ca="1" si="3"/>
        <v>-3.5036551991894238</v>
      </c>
      <c r="Q30" s="1">
        <f t="shared" si="4"/>
        <v>21522.769999999997</v>
      </c>
      <c r="R30" s="1"/>
      <c r="S30">
        <f t="shared" ca="1" si="5"/>
        <v>8.6313013686224363E-2</v>
      </c>
    </row>
    <row r="31" spans="1:22" ht="12.95" customHeight="1" x14ac:dyDescent="0.2">
      <c r="A31" s="73" t="s">
        <v>76</v>
      </c>
      <c r="B31" s="74" t="s">
        <v>52</v>
      </c>
      <c r="C31" s="91">
        <v>36541.315999999999</v>
      </c>
      <c r="D31" s="73" t="s">
        <v>70</v>
      </c>
      <c r="E31" s="15">
        <f t="shared" si="0"/>
        <v>3501.6750962755573</v>
      </c>
      <c r="F31" s="80">
        <f t="shared" si="7"/>
        <v>3503</v>
      </c>
      <c r="G31">
        <f t="shared" si="2"/>
        <v>-3.7514459643352893</v>
      </c>
      <c r="I31">
        <f t="shared" si="6"/>
        <v>-3.7514459643352893</v>
      </c>
      <c r="O31">
        <f t="shared" ca="1" si="3"/>
        <v>-3.5036551991894238</v>
      </c>
      <c r="Q31" s="1">
        <f t="shared" si="4"/>
        <v>21522.815999999999</v>
      </c>
      <c r="R31" s="1"/>
      <c r="S31">
        <f t="shared" ca="1" si="5"/>
        <v>6.1400263291573477E-2</v>
      </c>
    </row>
    <row r="32" spans="1:22" ht="12.95" customHeight="1" x14ac:dyDescent="0.2">
      <c r="A32" s="73" t="s">
        <v>76</v>
      </c>
      <c r="B32" s="74" t="s">
        <v>52</v>
      </c>
      <c r="C32" s="91">
        <v>36821.56</v>
      </c>
      <c r="D32" s="73" t="s">
        <v>70</v>
      </c>
      <c r="E32" s="15">
        <f t="shared" si="0"/>
        <v>3600.6492845972293</v>
      </c>
      <c r="F32" s="80">
        <f t="shared" si="7"/>
        <v>3602</v>
      </c>
      <c r="G32">
        <f t="shared" si="2"/>
        <v>-3.8245313626975985</v>
      </c>
      <c r="I32">
        <f t="shared" si="6"/>
        <v>-3.8245313626975985</v>
      </c>
      <c r="O32">
        <f t="shared" ca="1" si="3"/>
        <v>-3.5893323724780157</v>
      </c>
      <c r="Q32" s="1">
        <f t="shared" si="4"/>
        <v>21803.059999999998</v>
      </c>
      <c r="R32" s="1"/>
      <c r="S32">
        <f t="shared" ca="1" si="5"/>
        <v>5.5318565000311404E-2</v>
      </c>
    </row>
    <row r="33" spans="1:19" ht="12.95" customHeight="1" x14ac:dyDescent="0.2">
      <c r="A33" s="73" t="s">
        <v>76</v>
      </c>
      <c r="B33" s="74" t="s">
        <v>52</v>
      </c>
      <c r="C33" s="91">
        <v>36824.438000000002</v>
      </c>
      <c r="D33" s="73" t="s">
        <v>70</v>
      </c>
      <c r="E33" s="15">
        <f t="shared" si="0"/>
        <v>3601.6657121174981</v>
      </c>
      <c r="F33" s="80">
        <f t="shared" si="7"/>
        <v>3603</v>
      </c>
      <c r="G33">
        <f t="shared" si="2"/>
        <v>-3.7780170737896697</v>
      </c>
      <c r="I33">
        <f t="shared" si="6"/>
        <v>-3.7780170737896697</v>
      </c>
      <c r="O33">
        <f t="shared" ca="1" si="3"/>
        <v>-3.5901977984708298</v>
      </c>
      <c r="Q33" s="1">
        <f t="shared" si="4"/>
        <v>21805.938000000002</v>
      </c>
      <c r="R33" s="1"/>
      <c r="S33">
        <f t="shared" ca="1" si="5"/>
        <v>3.5276080181294182E-2</v>
      </c>
    </row>
    <row r="34" spans="1:19" ht="12.95" customHeight="1" x14ac:dyDescent="0.2">
      <c r="A34" s="73" t="s">
        <v>76</v>
      </c>
      <c r="B34" s="74" t="s">
        <v>52</v>
      </c>
      <c r="C34" s="91">
        <v>36841.474999999999</v>
      </c>
      <c r="D34" s="73" t="s">
        <v>70</v>
      </c>
      <c r="E34" s="15">
        <f t="shared" si="0"/>
        <v>3607.6826946271535</v>
      </c>
      <c r="F34" s="80">
        <f t="shared" si="7"/>
        <v>3609</v>
      </c>
      <c r="G34">
        <f t="shared" si="2"/>
        <v>-3.7299313403636916</v>
      </c>
      <c r="I34">
        <f t="shared" si="6"/>
        <v>-3.7299313403636916</v>
      </c>
      <c r="O34">
        <f t="shared" ca="1" si="3"/>
        <v>-3.5953903544277139</v>
      </c>
      <c r="Q34" s="1">
        <f t="shared" si="4"/>
        <v>21822.974999999999</v>
      </c>
      <c r="R34" s="1"/>
      <c r="S34">
        <f t="shared" ca="1" si="5"/>
        <v>1.810127689662493E-2</v>
      </c>
    </row>
    <row r="35" spans="1:19" x14ac:dyDescent="0.2">
      <c r="A35" s="73" t="s">
        <v>76</v>
      </c>
      <c r="B35" s="74" t="s">
        <v>52</v>
      </c>
      <c r="C35" s="91">
        <v>37206.491999999998</v>
      </c>
      <c r="D35" s="73" t="s">
        <v>70</v>
      </c>
      <c r="E35" s="15">
        <f t="shared" si="0"/>
        <v>3736.5962888472327</v>
      </c>
      <c r="F35" s="80">
        <f t="shared" si="7"/>
        <v>3738</v>
      </c>
      <c r="G35">
        <f t="shared" si="2"/>
        <v>-3.9745880715636304</v>
      </c>
      <c r="I35">
        <f t="shared" si="6"/>
        <v>-3.9745880715636304</v>
      </c>
      <c r="O35">
        <f t="shared" ca="1" si="3"/>
        <v>-3.7070303075007276</v>
      </c>
      <c r="Q35" s="1">
        <f t="shared" si="4"/>
        <v>22187.991999999998</v>
      </c>
      <c r="R35" s="1"/>
      <c r="S35">
        <f t="shared" ca="1" si="5"/>
        <v>7.1587157110339944E-2</v>
      </c>
    </row>
    <row r="36" spans="1:19" x14ac:dyDescent="0.2">
      <c r="A36" s="49" t="s">
        <v>34</v>
      </c>
      <c r="B36" s="49"/>
      <c r="C36" s="50">
        <v>50752.247499999998</v>
      </c>
      <c r="D36" s="50"/>
      <c r="E36" s="15">
        <f t="shared" si="0"/>
        <v>8520.5708103939178</v>
      </c>
      <c r="F36" s="81">
        <f>ROUND(2*E36,0)/2+3.5</f>
        <v>8524</v>
      </c>
      <c r="G36">
        <f t="shared" si="2"/>
        <v>-9.7097013702586992</v>
      </c>
      <c r="J36">
        <f>+G36</f>
        <v>-9.7097013702586992</v>
      </c>
      <c r="O36">
        <f t="shared" ca="1" si="3"/>
        <v>-7.8489591091088196</v>
      </c>
      <c r="Q36" s="1">
        <f t="shared" si="4"/>
        <v>35733.747499999998</v>
      </c>
      <c r="R36" s="1" t="s">
        <v>64</v>
      </c>
      <c r="S36">
        <f t="shared" ca="1" si="5"/>
        <v>3.4623617624291669</v>
      </c>
    </row>
    <row r="37" spans="1:19" x14ac:dyDescent="0.2">
      <c r="A37" s="54" t="s">
        <v>53</v>
      </c>
      <c r="B37" s="55" t="s">
        <v>54</v>
      </c>
      <c r="C37" s="54">
        <v>53735.350400000003</v>
      </c>
      <c r="D37" s="54">
        <v>1.1000000000000001E-3</v>
      </c>
      <c r="E37" s="15">
        <f t="shared" si="0"/>
        <v>9574.117677436665</v>
      </c>
      <c r="F37" s="81">
        <f>ROUND(2*E37,0)/2+3.5</f>
        <v>9577.5</v>
      </c>
      <c r="G37">
        <f t="shared" si="2"/>
        <v>-9.5769980083932751</v>
      </c>
      <c r="J37">
        <f>+G37</f>
        <v>-9.5769980083932751</v>
      </c>
      <c r="O37">
        <f t="shared" ca="1" si="3"/>
        <v>-8.7606853925384307</v>
      </c>
      <c r="Q37" s="1">
        <f t="shared" si="4"/>
        <v>38716.850400000003</v>
      </c>
      <c r="R37" s="1" t="s">
        <v>64</v>
      </c>
      <c r="S37">
        <f t="shared" ca="1" si="5"/>
        <v>0.66636628680377874</v>
      </c>
    </row>
    <row r="38" spans="1:19" x14ac:dyDescent="0.2">
      <c r="A38" s="48" t="s">
        <v>48</v>
      </c>
      <c r="B38" s="49"/>
      <c r="C38" s="50">
        <v>54060.838553414018</v>
      </c>
      <c r="D38" s="50">
        <v>2.0000000000000001E-4</v>
      </c>
      <c r="E38" s="15">
        <f t="shared" si="0"/>
        <v>9689.0708103939178</v>
      </c>
      <c r="F38" s="81">
        <f>ROUND(2*E38,0)/2+3.5</f>
        <v>9692.5</v>
      </c>
      <c r="G38">
        <f t="shared" si="2"/>
        <v>-9.7097013702586992</v>
      </c>
      <c r="K38">
        <f>+G38</f>
        <v>-9.7097013702586992</v>
      </c>
      <c r="O38">
        <f t="shared" ca="1" si="3"/>
        <v>-8.8602093817120497</v>
      </c>
      <c r="Q38" s="1">
        <f t="shared" si="4"/>
        <v>39042.338553414018</v>
      </c>
      <c r="R38" s="1" t="s">
        <v>62</v>
      </c>
      <c r="S38">
        <f t="shared" ca="1" si="5"/>
        <v>0.72163663860494076</v>
      </c>
    </row>
    <row r="39" spans="1:19" x14ac:dyDescent="0.2">
      <c r="A39" s="51" t="s">
        <v>51</v>
      </c>
      <c r="B39" s="52" t="s">
        <v>52</v>
      </c>
      <c r="C39" s="53">
        <v>54762.734400000001</v>
      </c>
      <c r="D39" s="53">
        <v>1E-3</v>
      </c>
      <c r="E39" s="15">
        <f t="shared" si="0"/>
        <v>9936.9604055402924</v>
      </c>
      <c r="F39" s="81">
        <f>ROUND(2*E39,0)/2+3.5</f>
        <v>9940.5</v>
      </c>
      <c r="G39">
        <f t="shared" si="2"/>
        <v>-10.022311135733617</v>
      </c>
      <c r="K39">
        <f>+G39</f>
        <v>-10.022311135733617</v>
      </c>
      <c r="O39">
        <f t="shared" ca="1" si="3"/>
        <v>-9.0748350279299359</v>
      </c>
      <c r="Q39" s="1">
        <f t="shared" si="4"/>
        <v>39744.234400000001</v>
      </c>
      <c r="R39" s="1" t="s">
        <v>62</v>
      </c>
      <c r="S39">
        <f t="shared" ca="1" si="5"/>
        <v>0.89771097485881179</v>
      </c>
    </row>
    <row r="40" spans="1:19" x14ac:dyDescent="0.2">
      <c r="A40" s="56" t="s">
        <v>59</v>
      </c>
      <c r="B40" s="57" t="s">
        <v>52</v>
      </c>
      <c r="C40" s="58">
        <v>56152.399100000002</v>
      </c>
      <c r="D40" s="58">
        <v>1E-4</v>
      </c>
      <c r="E40" s="15">
        <f t="shared" si="0"/>
        <v>10427.75034474249</v>
      </c>
      <c r="F40" s="81">
        <f>ROUND(2*E40,0)/2+3.5</f>
        <v>10431.5</v>
      </c>
      <c r="G40">
        <f t="shared" si="2"/>
        <v>-10.617095283167146</v>
      </c>
      <c r="K40">
        <f>+G40</f>
        <v>-10.617095283167146</v>
      </c>
      <c r="O40">
        <f t="shared" ca="1" si="3"/>
        <v>-9.4997591904016403</v>
      </c>
      <c r="Q40" s="1">
        <f t="shared" si="4"/>
        <v>41133.899100000002</v>
      </c>
      <c r="R40" s="1" t="s">
        <v>62</v>
      </c>
      <c r="S40">
        <f t="shared" ca="1" si="5"/>
        <v>1.248439944196486</v>
      </c>
    </row>
    <row r="41" spans="1:19" x14ac:dyDescent="0.2">
      <c r="A41" s="106" t="s">
        <v>157</v>
      </c>
      <c r="B41" s="107" t="s">
        <v>52</v>
      </c>
      <c r="C41" s="106">
        <v>57754.311999999998</v>
      </c>
      <c r="D41" s="106">
        <v>3.5000000000000001E-3</v>
      </c>
      <c r="E41" s="15">
        <f t="shared" ref="E41:E48" si="8">(C41-C$7)/C$8</f>
        <v>10993.500294927027</v>
      </c>
      <c r="F41" s="108">
        <f t="shared" ref="F41:F48" si="9">ROUND(2*E41,0)/2+3.5</f>
        <v>10997</v>
      </c>
      <c r="G41">
        <f t="shared" ref="G41:G48" si="10">+C41-(C$7+F41*C$8)</f>
        <v>-9.9093649071655818</v>
      </c>
      <c r="K41">
        <f t="shared" ref="K41:K48" si="11">+G41</f>
        <v>-9.9093649071655818</v>
      </c>
      <c r="O41">
        <f t="shared" ref="O41:O48" ca="1" si="12">+C$11+C$12*$F41</f>
        <v>-9.9891575893379887</v>
      </c>
      <c r="Q41" s="1">
        <f t="shared" ref="Q41:Q48" si="13">+C41-15018.5</f>
        <v>42735.811999999998</v>
      </c>
      <c r="R41" s="1" t="s">
        <v>62</v>
      </c>
      <c r="S41">
        <f t="shared" ref="S41:S48" ca="1" si="14">+(O41-G41)^2</f>
        <v>6.3668721282667375E-3</v>
      </c>
    </row>
    <row r="42" spans="1:19" x14ac:dyDescent="0.2">
      <c r="A42" s="106" t="s">
        <v>157</v>
      </c>
      <c r="B42" s="107" t="s">
        <v>52</v>
      </c>
      <c r="C42" s="106">
        <v>58071.3001</v>
      </c>
      <c r="D42" s="106">
        <v>3.5000000000000001E-3</v>
      </c>
      <c r="E42" s="15">
        <f t="shared" si="8"/>
        <v>11105.451451437531</v>
      </c>
      <c r="F42" s="108">
        <f t="shared" si="9"/>
        <v>11109</v>
      </c>
      <c r="G42">
        <f t="shared" si="10"/>
        <v>-10.047664549761976</v>
      </c>
      <c r="K42">
        <f t="shared" si="11"/>
        <v>-10.047664549761976</v>
      </c>
      <c r="O42">
        <f t="shared" ca="1" si="12"/>
        <v>-10.086085300533163</v>
      </c>
      <c r="Q42" s="1">
        <f t="shared" si="13"/>
        <v>43052.8001</v>
      </c>
      <c r="R42" s="1" t="s">
        <v>62</v>
      </c>
      <c r="S42">
        <f t="shared" ca="1" si="14"/>
        <v>1.4761540898217266E-3</v>
      </c>
    </row>
    <row r="43" spans="1:19" x14ac:dyDescent="0.2">
      <c r="A43" s="106" t="s">
        <v>157</v>
      </c>
      <c r="B43" s="107" t="s">
        <v>52</v>
      </c>
      <c r="C43" s="106">
        <v>59132.654000000002</v>
      </c>
      <c r="D43" s="106">
        <v>3.5000000000000001E-3</v>
      </c>
      <c r="E43" s="15">
        <f t="shared" si="8"/>
        <v>11480.291379409375</v>
      </c>
      <c r="F43" s="108">
        <f t="shared" si="9"/>
        <v>11484</v>
      </c>
      <c r="G43">
        <f t="shared" si="10"/>
        <v>-10.500906210225367</v>
      </c>
      <c r="K43">
        <f t="shared" si="11"/>
        <v>-10.500906210225367</v>
      </c>
      <c r="O43">
        <f t="shared" ca="1" si="12"/>
        <v>-10.410620047838439</v>
      </c>
      <c r="Q43" s="1">
        <f t="shared" si="13"/>
        <v>44114.154000000002</v>
      </c>
      <c r="R43" s="1" t="s">
        <v>62</v>
      </c>
      <c r="S43">
        <f t="shared" ca="1" si="14"/>
        <v>8.1515911185586903E-3</v>
      </c>
    </row>
    <row r="44" spans="1:19" x14ac:dyDescent="0.2">
      <c r="A44" s="106" t="s">
        <v>157</v>
      </c>
      <c r="B44" s="107" t="s">
        <v>52</v>
      </c>
      <c r="C44" s="106">
        <v>59155.296600000001</v>
      </c>
      <c r="D44" s="106">
        <v>3.5000000000000001E-3</v>
      </c>
      <c r="E44" s="15">
        <f t="shared" si="8"/>
        <v>11488.288099968931</v>
      </c>
      <c r="F44" s="108">
        <f t="shared" si="9"/>
        <v>11492</v>
      </c>
      <c r="G44">
        <f t="shared" si="10"/>
        <v>-10.510191898982157</v>
      </c>
      <c r="K44">
        <f t="shared" si="11"/>
        <v>-10.510191898982157</v>
      </c>
      <c r="O44">
        <f t="shared" ca="1" si="12"/>
        <v>-10.417543455780951</v>
      </c>
      <c r="Q44" s="1">
        <f t="shared" si="13"/>
        <v>44136.796600000001</v>
      </c>
      <c r="R44" s="1" t="s">
        <v>62</v>
      </c>
      <c r="S44">
        <f t="shared" ca="1" si="14"/>
        <v>8.583734027607098E-3</v>
      </c>
    </row>
    <row r="45" spans="1:19" x14ac:dyDescent="0.2">
      <c r="A45" s="106" t="s">
        <v>157</v>
      </c>
      <c r="B45" s="107" t="s">
        <v>52</v>
      </c>
      <c r="C45" s="106">
        <v>59466.632899999997</v>
      </c>
      <c r="D45" s="106">
        <v>3.5000000000000001E-3</v>
      </c>
      <c r="E45" s="15">
        <f t="shared" si="8"/>
        <v>11598.243201907144</v>
      </c>
      <c r="F45" s="108">
        <f t="shared" si="9"/>
        <v>11601.5</v>
      </c>
      <c r="G45">
        <f t="shared" si="10"/>
        <v>-9.2215772638446651</v>
      </c>
      <c r="K45">
        <f t="shared" si="11"/>
        <v>-9.2215772638446651</v>
      </c>
      <c r="O45">
        <f t="shared" ca="1" si="12"/>
        <v>-10.512307601994088</v>
      </c>
      <c r="Q45" s="1">
        <f t="shared" si="13"/>
        <v>44448.132899999997</v>
      </c>
      <c r="R45" s="1" t="s">
        <v>62</v>
      </c>
      <c r="S45">
        <f t="shared" ca="1" si="14"/>
        <v>1.6659848058193241</v>
      </c>
    </row>
    <row r="46" spans="1:19" x14ac:dyDescent="0.2">
      <c r="A46" s="106" t="s">
        <v>157</v>
      </c>
      <c r="B46" s="107" t="s">
        <v>52</v>
      </c>
      <c r="C46" s="106">
        <v>59783.624600000003</v>
      </c>
      <c r="D46" s="106">
        <v>3.5000000000000001E-3</v>
      </c>
      <c r="E46" s="15">
        <f t="shared" si="8"/>
        <v>11710.195629834976</v>
      </c>
      <c r="F46" s="108">
        <f t="shared" si="9"/>
        <v>11713.5</v>
      </c>
      <c r="G46">
        <f t="shared" si="10"/>
        <v>-9.3562769064301392</v>
      </c>
      <c r="K46">
        <f t="shared" si="11"/>
        <v>-9.3562769064301392</v>
      </c>
      <c r="O46">
        <f t="shared" ca="1" si="12"/>
        <v>-10.609235313189263</v>
      </c>
      <c r="Q46" s="1">
        <f t="shared" si="13"/>
        <v>44765.124600000003</v>
      </c>
      <c r="R46" s="1" t="s">
        <v>62</v>
      </c>
      <c r="S46">
        <f t="shared" ca="1" si="14"/>
        <v>1.5699047690683618</v>
      </c>
    </row>
    <row r="47" spans="1:19" x14ac:dyDescent="0.2">
      <c r="A47" s="106" t="s">
        <v>157</v>
      </c>
      <c r="B47" s="107" t="s">
        <v>52</v>
      </c>
      <c r="C47" s="106">
        <v>59888.3436</v>
      </c>
      <c r="D47" s="106">
        <v>3.5000000000000001E-3</v>
      </c>
      <c r="E47" s="15">
        <f t="shared" si="8"/>
        <v>11747.179394079196</v>
      </c>
      <c r="F47" s="108">
        <f t="shared" si="9"/>
        <v>11750.5</v>
      </c>
      <c r="G47">
        <f t="shared" si="10"/>
        <v>-9.4022482169311843</v>
      </c>
      <c r="K47">
        <f t="shared" si="11"/>
        <v>-9.4022482169311843</v>
      </c>
      <c r="O47">
        <f t="shared" ca="1" si="12"/>
        <v>-10.641256074923383</v>
      </c>
      <c r="Q47" s="1">
        <f t="shared" si="13"/>
        <v>44869.8436</v>
      </c>
      <c r="R47" s="1" t="s">
        <v>62</v>
      </c>
      <c r="S47">
        <f t="shared" ca="1" si="14"/>
        <v>1.5351404721664172</v>
      </c>
    </row>
    <row r="48" spans="1:19" x14ac:dyDescent="0.2">
      <c r="A48" s="106" t="s">
        <v>157</v>
      </c>
      <c r="B48" s="107" t="s">
        <v>52</v>
      </c>
      <c r="C48" s="106">
        <v>60304.386299999998</v>
      </c>
      <c r="D48" s="106">
        <v>3.5000000000000001E-3</v>
      </c>
      <c r="E48" s="15">
        <f t="shared" si="8"/>
        <v>11894.113810300976</v>
      </c>
      <c r="F48" s="108">
        <f t="shared" si="9"/>
        <v>11897.5</v>
      </c>
      <c r="G48">
        <f t="shared" si="10"/>
        <v>-9.5879477478374611</v>
      </c>
      <c r="K48">
        <f t="shared" si="11"/>
        <v>-9.5879477478374611</v>
      </c>
      <c r="O48">
        <f t="shared" ca="1" si="12"/>
        <v>-10.768473695867051</v>
      </c>
      <c r="Q48" s="1">
        <f t="shared" si="13"/>
        <v>45285.886299999998</v>
      </c>
      <c r="R48" s="1" t="s">
        <v>62</v>
      </c>
      <c r="S48">
        <f t="shared" ca="1" si="14"/>
        <v>1.3936415139711626</v>
      </c>
    </row>
    <row r="49" spans="4:4" x14ac:dyDescent="0.2">
      <c r="D49" s="2"/>
    </row>
    <row r="50" spans="4:4" x14ac:dyDescent="0.2">
      <c r="D50" s="2"/>
    </row>
    <row r="51" spans="4:4" x14ac:dyDescent="0.2">
      <c r="D51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U88"/>
  <sheetViews>
    <sheetView workbookViewId="0">
      <pane xSplit="14" ySplit="22" topLeftCell="O3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1" ht="20.25" x14ac:dyDescent="0.2">
      <c r="A1" s="95" t="s">
        <v>151</v>
      </c>
      <c r="B1" s="7"/>
      <c r="C1" s="7"/>
      <c r="D1" s="7"/>
      <c r="E1" s="7"/>
    </row>
    <row r="2" spans="1:21" x14ac:dyDescent="0.2">
      <c r="A2" s="8" t="s">
        <v>25</v>
      </c>
      <c r="B2" s="105" t="s">
        <v>156</v>
      </c>
      <c r="C2" s="7"/>
      <c r="D2" s="7"/>
      <c r="E2" s="7"/>
    </row>
    <row r="3" spans="1:21" ht="13.5" thickBot="1" x14ac:dyDescent="0.25">
      <c r="A3" s="8"/>
      <c r="B3" s="7"/>
      <c r="C3" s="45" t="s">
        <v>56</v>
      </c>
      <c r="D3" s="9"/>
      <c r="E3" s="7"/>
    </row>
    <row r="4" spans="1:21" ht="13.5" thickBot="1" x14ac:dyDescent="0.25">
      <c r="A4" s="10" t="s">
        <v>0</v>
      </c>
      <c r="B4" s="11"/>
      <c r="C4" s="12">
        <v>26626.373</v>
      </c>
      <c r="D4" s="13">
        <v>2.8304239999999998</v>
      </c>
      <c r="E4" s="14"/>
    </row>
    <row r="5" spans="1:21" x14ac:dyDescent="0.2">
      <c r="A5" s="23" t="s">
        <v>40</v>
      </c>
      <c r="B5" s="8"/>
      <c r="C5" s="24">
        <v>-9.5</v>
      </c>
      <c r="D5" s="8" t="s">
        <v>41</v>
      </c>
      <c r="E5" s="7"/>
    </row>
    <row r="6" spans="1:21" x14ac:dyDescent="0.2">
      <c r="A6" s="10" t="s">
        <v>1</v>
      </c>
      <c r="B6" s="7"/>
      <c r="C6" s="7"/>
      <c r="D6" s="7"/>
      <c r="E6" s="7"/>
    </row>
    <row r="7" spans="1:21" x14ac:dyDescent="0.2">
      <c r="A7" s="8" t="s">
        <v>2</v>
      </c>
      <c r="B7" s="7"/>
      <c r="C7" s="7">
        <v>56150.906049685698</v>
      </c>
      <c r="D7" s="7"/>
      <c r="E7" s="7"/>
    </row>
    <row r="8" spans="1:21" x14ac:dyDescent="0.2">
      <c r="A8" s="8" t="s">
        <v>3</v>
      </c>
      <c r="B8" s="7"/>
      <c r="C8" s="7">
        <v>2.8304691135323363</v>
      </c>
      <c r="D8" s="7"/>
      <c r="E8" s="7"/>
    </row>
    <row r="9" spans="1:21" x14ac:dyDescent="0.2">
      <c r="A9" s="36" t="s">
        <v>49</v>
      </c>
      <c r="B9" s="37">
        <v>36</v>
      </c>
      <c r="C9" s="26" t="str">
        <f>"F"&amp;B9</f>
        <v>F36</v>
      </c>
      <c r="D9" s="27" t="str">
        <f>"G"&amp;B9</f>
        <v>G36</v>
      </c>
    </row>
    <row r="10" spans="1:21" ht="13.5" thickBot="1" x14ac:dyDescent="0.25">
      <c r="A10" s="8"/>
      <c r="B10" s="8"/>
      <c r="C10" s="3" t="s">
        <v>20</v>
      </c>
      <c r="D10" s="3" t="s">
        <v>21</v>
      </c>
      <c r="E10" s="8"/>
    </row>
    <row r="11" spans="1:21" x14ac:dyDescent="0.2">
      <c r="A11" s="8" t="s">
        <v>15</v>
      </c>
      <c r="B11" s="8"/>
      <c r="C11" s="25">
        <f ca="1">INTERCEPT(INDIRECT($D$9):G991,INDIRECT($C$9):F991)</f>
        <v>-1.3437241316766604</v>
      </c>
      <c r="D11" s="2"/>
      <c r="E11" s="8"/>
    </row>
    <row r="12" spans="1:21" x14ac:dyDescent="0.2">
      <c r="A12" s="8" t="s">
        <v>16</v>
      </c>
      <c r="B12" s="8"/>
      <c r="C12" s="25">
        <f ca="1">SLOPE(INDIRECT($D$9):G991,INDIRECT($C$9):F991)</f>
        <v>-2.0724746919211829E-4</v>
      </c>
      <c r="D12" s="2"/>
      <c r="E12" s="98" t="s">
        <v>155</v>
      </c>
      <c r="F12" s="99" t="s">
        <v>154</v>
      </c>
    </row>
    <row r="13" spans="1:21" x14ac:dyDescent="0.2">
      <c r="A13" s="8" t="s">
        <v>19</v>
      </c>
      <c r="B13" s="8"/>
      <c r="C13" s="2" t="s">
        <v>42</v>
      </c>
      <c r="E13" s="96" t="s">
        <v>57</v>
      </c>
      <c r="F13" s="101">
        <v>1</v>
      </c>
    </row>
    <row r="14" spans="1:21" x14ac:dyDescent="0.2">
      <c r="A14" s="8"/>
      <c r="B14" s="8"/>
      <c r="C14" s="8"/>
      <c r="E14" s="96" t="s">
        <v>43</v>
      </c>
      <c r="F14" s="102">
        <f ca="1">NOW()+15018.5+$C$5/24</f>
        <v>60541.715102893519</v>
      </c>
      <c r="U14" s="20"/>
    </row>
    <row r="15" spans="1:21" x14ac:dyDescent="0.2">
      <c r="A15" s="16" t="s">
        <v>17</v>
      </c>
      <c r="B15" s="8"/>
      <c r="C15" s="28">
        <f ca="1">(C7+C11)+(C8+C12)*INT(MAX(F21:F3532))</f>
        <v>60304.386744934716</v>
      </c>
      <c r="E15" s="96" t="s">
        <v>58</v>
      </c>
      <c r="F15" s="102">
        <f ca="1">ROUND(2*($F$14-$C$7)/$C$8,0)/2+$F$13</f>
        <v>1552.5</v>
      </c>
      <c r="U15" s="20"/>
    </row>
    <row r="16" spans="1:21" x14ac:dyDescent="0.2">
      <c r="A16" s="10" t="s">
        <v>4</v>
      </c>
      <c r="B16" s="8"/>
      <c r="C16" s="31">
        <f ca="1">+C8+C12</f>
        <v>2.830261866063144</v>
      </c>
      <c r="E16" s="96" t="s">
        <v>44</v>
      </c>
      <c r="F16" s="102">
        <f ca="1">ROUND(2*($F$14-$C$15)/$C$16,0)/2+$F$13</f>
        <v>85</v>
      </c>
      <c r="U16" s="20"/>
    </row>
    <row r="17" spans="1:21" ht="13.5" thickBot="1" x14ac:dyDescent="0.25">
      <c r="A17" s="29" t="s">
        <v>45</v>
      </c>
      <c r="B17" s="8"/>
      <c r="C17" s="8">
        <f>COUNT(C21:C2190)</f>
        <v>28</v>
      </c>
      <c r="E17" s="96" t="s">
        <v>152</v>
      </c>
      <c r="F17" s="103">
        <f ca="1">+$C$15+$C$16*$F$16-15018.5-$C$5/24</f>
        <v>45526.854836883416</v>
      </c>
      <c r="U17" s="20"/>
    </row>
    <row r="18" spans="1:21" ht="14.25" thickTop="1" thickBot="1" x14ac:dyDescent="0.25">
      <c r="A18" s="10" t="s">
        <v>5</v>
      </c>
      <c r="B18" s="8"/>
      <c r="C18" s="33">
        <f ca="1">+C15</f>
        <v>60304.386744934716</v>
      </c>
      <c r="D18" s="34">
        <f ca="1">+C16</f>
        <v>2.830261866063144</v>
      </c>
      <c r="E18" s="97" t="s">
        <v>153</v>
      </c>
      <c r="F18" s="104">
        <f ca="1">+($C$15+$C$16*$F$16)-($C$16/2)-15018.5-$C$5/24</f>
        <v>45525.439705950383</v>
      </c>
    </row>
    <row r="19" spans="1:21" ht="13.5" thickTop="1" x14ac:dyDescent="0.2">
      <c r="E19" s="29"/>
      <c r="F19" s="32"/>
    </row>
    <row r="20" spans="1:21" ht="13.5" thickBot="1" x14ac:dyDescent="0.25">
      <c r="A20" s="17" t="s">
        <v>6</v>
      </c>
      <c r="B20" s="17" t="s">
        <v>7</v>
      </c>
      <c r="C20" s="17" t="s">
        <v>8</v>
      </c>
      <c r="D20" s="17" t="s">
        <v>13</v>
      </c>
      <c r="E20" s="17" t="s">
        <v>9</v>
      </c>
      <c r="F20" s="3" t="s">
        <v>10</v>
      </c>
      <c r="G20" s="3" t="s">
        <v>11</v>
      </c>
      <c r="H20" s="5" t="s">
        <v>67</v>
      </c>
      <c r="I20" s="5" t="s">
        <v>70</v>
      </c>
      <c r="J20" s="5" t="s">
        <v>64</v>
      </c>
      <c r="K20" s="5" t="s">
        <v>62</v>
      </c>
      <c r="L20" s="5" t="s">
        <v>27</v>
      </c>
      <c r="M20" s="5" t="s">
        <v>28</v>
      </c>
      <c r="N20" s="5" t="s">
        <v>29</v>
      </c>
      <c r="O20" s="5" t="s">
        <v>23</v>
      </c>
      <c r="P20" s="4" t="s">
        <v>22</v>
      </c>
      <c r="Q20" s="3" t="s">
        <v>14</v>
      </c>
    </row>
    <row r="21" spans="1:21" x14ac:dyDescent="0.2">
      <c r="A21" s="76" t="s">
        <v>76</v>
      </c>
      <c r="B21" s="78" t="s">
        <v>52</v>
      </c>
      <c r="C21" s="92">
        <v>26626.348000000002</v>
      </c>
      <c r="D21" s="92" t="s">
        <v>70</v>
      </c>
      <c r="E21" s="15">
        <f t="shared" ref="E21:E40" si="0">(C21-C$7)/C$8</f>
        <v>-10430.976938956941</v>
      </c>
      <c r="F21">
        <f t="shared" ref="F21:F35" si="1">ROUND(2*E21,0)/2</f>
        <v>-10431</v>
      </c>
      <c r="G21">
        <f t="shared" ref="G21:G40" si="2">+C21-(C$7+F21*C$8)</f>
        <v>6.5273570104181999E-2</v>
      </c>
      <c r="I21">
        <f>+G21</f>
        <v>6.5273570104181999E-2</v>
      </c>
      <c r="Q21" s="1">
        <f t="shared" ref="Q21:Q40" si="3">+C21-15018.5</f>
        <v>11607.848000000002</v>
      </c>
      <c r="R21">
        <f t="shared" ref="R21:R40" si="4">+(O21-G21)^2</f>
        <v>4.2606389541455618E-3</v>
      </c>
    </row>
    <row r="22" spans="1:21" x14ac:dyDescent="0.2">
      <c r="A22" s="46" t="s">
        <v>12</v>
      </c>
      <c r="B22" s="46"/>
      <c r="C22" s="47">
        <f>C$4</f>
        <v>26626.373</v>
      </c>
      <c r="D22" s="47"/>
      <c r="E22" s="15">
        <f t="shared" si="0"/>
        <v>-10430.968106498789</v>
      </c>
      <c r="F22">
        <f t="shared" si="1"/>
        <v>-10431</v>
      </c>
      <c r="G22">
        <f t="shared" si="2"/>
        <v>9.0273570101999212E-2</v>
      </c>
      <c r="H22">
        <v>0</v>
      </c>
      <c r="Q22" s="1">
        <f t="shared" si="3"/>
        <v>11607.873</v>
      </c>
      <c r="R22">
        <f t="shared" si="4"/>
        <v>8.1493174589605654E-3</v>
      </c>
    </row>
    <row r="23" spans="1:21" x14ac:dyDescent="0.2">
      <c r="A23" s="75" t="s">
        <v>76</v>
      </c>
      <c r="B23" s="77" t="s">
        <v>52</v>
      </c>
      <c r="C23" s="90">
        <v>26677.335999999999</v>
      </c>
      <c r="D23" s="90" t="s">
        <v>70</v>
      </c>
      <c r="E23" s="15">
        <f t="shared" si="0"/>
        <v>-10412.96296390375</v>
      </c>
      <c r="F23">
        <f t="shared" si="1"/>
        <v>-10413</v>
      </c>
      <c r="G23">
        <f t="shared" si="2"/>
        <v>0.10482952652091626</v>
      </c>
      <c r="I23">
        <f t="shared" ref="I23:I35" si="5">+G23</f>
        <v>0.10482952652091626</v>
      </c>
      <c r="Q23" s="1">
        <f t="shared" si="3"/>
        <v>11658.835999999999</v>
      </c>
      <c r="R23">
        <f t="shared" si="4"/>
        <v>1.0989229630599485E-2</v>
      </c>
    </row>
    <row r="24" spans="1:21" x14ac:dyDescent="0.2">
      <c r="A24" s="73" t="s">
        <v>76</v>
      </c>
      <c r="B24" s="74" t="s">
        <v>52</v>
      </c>
      <c r="C24" s="91">
        <v>27359.436000000002</v>
      </c>
      <c r="D24" s="91" t="s">
        <v>70</v>
      </c>
      <c r="E24" s="15">
        <f t="shared" si="0"/>
        <v>-10171.978175644124</v>
      </c>
      <c r="F24">
        <f t="shared" si="1"/>
        <v>-10172</v>
      </c>
      <c r="G24">
        <f t="shared" si="2"/>
        <v>6.1773165227350546E-2</v>
      </c>
      <c r="I24">
        <f t="shared" si="5"/>
        <v>6.1773165227350546E-2</v>
      </c>
      <c r="Q24" s="1">
        <f t="shared" si="3"/>
        <v>12340.936000000002</v>
      </c>
      <c r="R24">
        <f t="shared" si="4"/>
        <v>3.8159239422055507E-3</v>
      </c>
    </row>
    <row r="25" spans="1:21" x14ac:dyDescent="0.2">
      <c r="A25" s="73" t="s">
        <v>76</v>
      </c>
      <c r="B25" s="74" t="s">
        <v>52</v>
      </c>
      <c r="C25" s="91">
        <v>28078.363000000001</v>
      </c>
      <c r="D25" s="91" t="s">
        <v>70</v>
      </c>
      <c r="E25" s="15">
        <f t="shared" si="0"/>
        <v>-9917.9824699277669</v>
      </c>
      <c r="F25">
        <f t="shared" si="1"/>
        <v>-9918</v>
      </c>
      <c r="G25">
        <f t="shared" si="2"/>
        <v>4.9618328015640145E-2</v>
      </c>
      <c r="I25">
        <f t="shared" si="5"/>
        <v>4.9618328015640145E-2</v>
      </c>
      <c r="Q25" s="1">
        <f t="shared" si="3"/>
        <v>13059.863000000001</v>
      </c>
      <c r="R25">
        <f t="shared" si="4"/>
        <v>2.4619784750676598E-3</v>
      </c>
    </row>
    <row r="26" spans="1:21" x14ac:dyDescent="0.2">
      <c r="A26" s="73" t="s">
        <v>76</v>
      </c>
      <c r="B26" s="74" t="s">
        <v>52</v>
      </c>
      <c r="C26" s="91">
        <v>28078.41</v>
      </c>
      <c r="D26" s="91" t="s">
        <v>70</v>
      </c>
      <c r="E26" s="15">
        <f t="shared" si="0"/>
        <v>-9917.9658649064386</v>
      </c>
      <c r="F26">
        <f t="shared" si="1"/>
        <v>-9918</v>
      </c>
      <c r="G26">
        <f t="shared" si="2"/>
        <v>9.6618328014301369E-2</v>
      </c>
      <c r="I26">
        <f t="shared" si="5"/>
        <v>9.6618328014301369E-2</v>
      </c>
      <c r="Q26" s="1">
        <f t="shared" si="3"/>
        <v>13059.91</v>
      </c>
      <c r="R26">
        <f t="shared" si="4"/>
        <v>9.3351013082791333E-3</v>
      </c>
    </row>
    <row r="27" spans="1:21" x14ac:dyDescent="0.2">
      <c r="A27" s="73" t="s">
        <v>76</v>
      </c>
      <c r="B27" s="74" t="s">
        <v>52</v>
      </c>
      <c r="C27" s="91">
        <v>29162.431</v>
      </c>
      <c r="D27" s="91" t="s">
        <v>70</v>
      </c>
      <c r="E27" s="15">
        <f t="shared" si="0"/>
        <v>-9534.9830601065732</v>
      </c>
      <c r="F27">
        <f t="shared" si="1"/>
        <v>-9535</v>
      </c>
      <c r="G27">
        <f t="shared" si="2"/>
        <v>4.7947845130693167E-2</v>
      </c>
      <c r="I27">
        <f t="shared" si="5"/>
        <v>4.7947845130693167E-2</v>
      </c>
      <c r="Q27" s="1">
        <f t="shared" si="3"/>
        <v>14143.931</v>
      </c>
      <c r="R27">
        <f t="shared" si="4"/>
        <v>2.2989958526769363E-3</v>
      </c>
    </row>
    <row r="28" spans="1:21" x14ac:dyDescent="0.2">
      <c r="A28" s="73" t="s">
        <v>76</v>
      </c>
      <c r="B28" s="74" t="s">
        <v>52</v>
      </c>
      <c r="C28" s="91">
        <v>29196.397000000001</v>
      </c>
      <c r="D28" s="91" t="s">
        <v>70</v>
      </c>
      <c r="E28" s="15">
        <f t="shared" si="0"/>
        <v>-9522.9829291609258</v>
      </c>
      <c r="F28">
        <f t="shared" si="1"/>
        <v>-9523</v>
      </c>
      <c r="G28">
        <f t="shared" si="2"/>
        <v>4.8318482742615743E-2</v>
      </c>
      <c r="I28">
        <f t="shared" si="5"/>
        <v>4.8318482742615743E-2</v>
      </c>
      <c r="Q28" s="1">
        <f t="shared" si="3"/>
        <v>14177.897000000001</v>
      </c>
      <c r="R28">
        <f t="shared" si="4"/>
        <v>2.3346757745484554E-3</v>
      </c>
    </row>
    <row r="29" spans="1:21" x14ac:dyDescent="0.2">
      <c r="A29" s="73" t="s">
        <v>99</v>
      </c>
      <c r="B29" s="74" t="s">
        <v>52</v>
      </c>
      <c r="C29" s="91">
        <v>36490.442000000003</v>
      </c>
      <c r="D29" s="91" t="s">
        <v>70</v>
      </c>
      <c r="E29" s="15">
        <f t="shared" si="0"/>
        <v>-6946.0090398760985</v>
      </c>
      <c r="F29">
        <f t="shared" si="1"/>
        <v>-6946</v>
      </c>
      <c r="G29">
        <f t="shared" si="2"/>
        <v>-2.5587090087356046E-2</v>
      </c>
      <c r="I29">
        <f t="shared" si="5"/>
        <v>-2.5587090087356046E-2</v>
      </c>
      <c r="Q29" s="1">
        <f t="shared" si="3"/>
        <v>21471.942000000003</v>
      </c>
      <c r="R29">
        <f t="shared" si="4"/>
        <v>6.5469917913847403E-4</v>
      </c>
    </row>
    <row r="30" spans="1:21" x14ac:dyDescent="0.2">
      <c r="A30" s="73" t="s">
        <v>76</v>
      </c>
      <c r="B30" s="74" t="s">
        <v>52</v>
      </c>
      <c r="C30" s="91">
        <v>36541.269999999997</v>
      </c>
      <c r="D30" s="91" t="s">
        <v>70</v>
      </c>
      <c r="E30" s="15">
        <f t="shared" si="0"/>
        <v>-6928.0515925550917</v>
      </c>
      <c r="F30">
        <f t="shared" si="1"/>
        <v>-6928</v>
      </c>
      <c r="G30">
        <f t="shared" si="2"/>
        <v>-0.14603113367775222</v>
      </c>
      <c r="I30">
        <f t="shared" si="5"/>
        <v>-0.14603113367775222</v>
      </c>
      <c r="Q30" s="1">
        <f t="shared" si="3"/>
        <v>21522.769999999997</v>
      </c>
      <c r="R30">
        <f t="shared" si="4"/>
        <v>2.1325092003209541E-2</v>
      </c>
    </row>
    <row r="31" spans="1:21" x14ac:dyDescent="0.2">
      <c r="A31" s="73" t="s">
        <v>76</v>
      </c>
      <c r="B31" s="74" t="s">
        <v>52</v>
      </c>
      <c r="C31" s="91">
        <v>36541.315999999999</v>
      </c>
      <c r="D31" s="91" t="s">
        <v>70</v>
      </c>
      <c r="E31" s="15">
        <f t="shared" si="0"/>
        <v>-6928.0353408320889</v>
      </c>
      <c r="F31">
        <f t="shared" si="1"/>
        <v>-6928</v>
      </c>
      <c r="G31">
        <f t="shared" si="2"/>
        <v>-0.10003113367565675</v>
      </c>
      <c r="I31">
        <f t="shared" si="5"/>
        <v>-0.10003113367565675</v>
      </c>
      <c r="Q31" s="1">
        <f t="shared" si="3"/>
        <v>21522.815999999999</v>
      </c>
      <c r="R31">
        <f t="shared" si="4"/>
        <v>1.0006227704437109E-2</v>
      </c>
    </row>
    <row r="32" spans="1:21" x14ac:dyDescent="0.2">
      <c r="A32" s="73" t="s">
        <v>76</v>
      </c>
      <c r="B32" s="74" t="s">
        <v>52</v>
      </c>
      <c r="C32" s="91">
        <v>36821.56</v>
      </c>
      <c r="D32" s="91" t="s">
        <v>70</v>
      </c>
      <c r="E32" s="15">
        <f t="shared" si="0"/>
        <v>-6829.0256047215034</v>
      </c>
      <c r="F32">
        <f t="shared" si="1"/>
        <v>-6829</v>
      </c>
      <c r="G32">
        <f t="shared" si="2"/>
        <v>-7.2473373380489647E-2</v>
      </c>
      <c r="I32">
        <f t="shared" si="5"/>
        <v>-7.2473373380489647E-2</v>
      </c>
      <c r="Q32" s="1">
        <f t="shared" si="3"/>
        <v>21803.059999999998</v>
      </c>
      <c r="R32">
        <f t="shared" si="4"/>
        <v>5.2523898491478654E-3</v>
      </c>
    </row>
    <row r="33" spans="1:18" x14ac:dyDescent="0.2">
      <c r="A33" s="73" t="s">
        <v>76</v>
      </c>
      <c r="B33" s="74" t="s">
        <v>52</v>
      </c>
      <c r="C33" s="91">
        <v>36824.438000000002</v>
      </c>
      <c r="D33" s="91" t="s">
        <v>70</v>
      </c>
      <c r="E33" s="15">
        <f t="shared" si="0"/>
        <v>-6828.0088121388726</v>
      </c>
      <c r="F33">
        <f t="shared" si="1"/>
        <v>-6828</v>
      </c>
      <c r="G33">
        <f t="shared" si="2"/>
        <v>-2.4942486903455574E-2</v>
      </c>
      <c r="I33">
        <f t="shared" si="5"/>
        <v>-2.4942486903455574E-2</v>
      </c>
      <c r="Q33" s="1">
        <f t="shared" si="3"/>
        <v>21805.938000000002</v>
      </c>
      <c r="R33">
        <f t="shared" si="4"/>
        <v>6.2212765292905283E-4</v>
      </c>
    </row>
    <row r="34" spans="1:18" ht="12.95" customHeight="1" x14ac:dyDescent="0.2">
      <c r="A34" s="73" t="s">
        <v>76</v>
      </c>
      <c r="B34" s="74" t="s">
        <v>52</v>
      </c>
      <c r="C34" s="91">
        <v>36841.474999999999</v>
      </c>
      <c r="D34" s="91" t="s">
        <v>70</v>
      </c>
      <c r="E34" s="15">
        <f t="shared" si="0"/>
        <v>-6821.989668556439</v>
      </c>
      <c r="F34">
        <f t="shared" si="1"/>
        <v>-6822</v>
      </c>
      <c r="G34">
        <f t="shared" si="2"/>
        <v>2.9242831900774036E-2</v>
      </c>
      <c r="I34">
        <f t="shared" si="5"/>
        <v>2.9242831900774036E-2</v>
      </c>
      <c r="O34">
        <f t="shared" ref="O34:O40" ca="1" si="6">+C$11+C$12*$F34</f>
        <v>7.0118103151970645E-2</v>
      </c>
      <c r="Q34" s="1">
        <f t="shared" si="3"/>
        <v>21822.974999999999</v>
      </c>
      <c r="R34">
        <f t="shared" ca="1" si="4"/>
        <v>1.6707877998589E-3</v>
      </c>
    </row>
    <row r="35" spans="1:18" ht="12.95" customHeight="1" x14ac:dyDescent="0.2">
      <c r="A35" s="73" t="s">
        <v>76</v>
      </c>
      <c r="B35" s="74" t="s">
        <v>52</v>
      </c>
      <c r="C35" s="91">
        <v>37206.491999999998</v>
      </c>
      <c r="D35" s="91" t="s">
        <v>70</v>
      </c>
      <c r="E35" s="15">
        <f t="shared" si="0"/>
        <v>-6693.0297734440446</v>
      </c>
      <c r="F35">
        <f t="shared" si="1"/>
        <v>-6693</v>
      </c>
      <c r="G35">
        <f t="shared" si="2"/>
        <v>-8.4272813772258814E-2</v>
      </c>
      <c r="I35">
        <f t="shared" si="5"/>
        <v>-8.4272813772258814E-2</v>
      </c>
      <c r="O35">
        <f t="shared" ca="1" si="6"/>
        <v>4.3383179626187429E-2</v>
      </c>
      <c r="Q35" s="1">
        <f t="shared" si="3"/>
        <v>22187.991999999998</v>
      </c>
      <c r="R35">
        <f t="shared" ca="1" si="4"/>
        <v>1.6296052650544152E-2</v>
      </c>
    </row>
    <row r="36" spans="1:18" ht="12.95" customHeight="1" x14ac:dyDescent="0.2">
      <c r="A36" s="49" t="s">
        <v>34</v>
      </c>
      <c r="B36" s="49"/>
      <c r="C36" s="50">
        <v>50752.247499999998</v>
      </c>
      <c r="D36" s="50"/>
      <c r="E36" s="15">
        <f t="shared" si="0"/>
        <v>-1907.3370290016501</v>
      </c>
      <c r="F36" s="81">
        <f>ROUND(2*E36,0)/2+0.5</f>
        <v>-1907</v>
      </c>
      <c r="G36">
        <f t="shared" si="2"/>
        <v>-0.95395017953705974</v>
      </c>
      <c r="J36">
        <f>+G36</f>
        <v>-0.95395017953705974</v>
      </c>
      <c r="O36">
        <f t="shared" ca="1" si="6"/>
        <v>-0.94850320792729081</v>
      </c>
      <c r="Q36" s="1">
        <f t="shared" si="3"/>
        <v>35733.747499999998</v>
      </c>
      <c r="R36">
        <f t="shared" ca="1" si="4"/>
        <v>2.966949971762867E-5</v>
      </c>
    </row>
    <row r="37" spans="1:18" ht="12.95" customHeight="1" x14ac:dyDescent="0.2">
      <c r="A37" s="54" t="s">
        <v>53</v>
      </c>
      <c r="B37" s="55" t="s">
        <v>54</v>
      </c>
      <c r="C37" s="54">
        <v>53735.350400000003</v>
      </c>
      <c r="D37" s="54">
        <v>1.1000000000000001E-3</v>
      </c>
      <c r="E37" s="15">
        <f t="shared" si="0"/>
        <v>-853.41176773031725</v>
      </c>
      <c r="F37" s="81">
        <f>ROUND(2*E37,0)/2+0.5</f>
        <v>-853</v>
      </c>
      <c r="G37">
        <f t="shared" si="2"/>
        <v>-1.1654958426152007</v>
      </c>
      <c r="J37">
        <f>+G37</f>
        <v>-1.1654958426152007</v>
      </c>
      <c r="O37">
        <f t="shared" ca="1" si="6"/>
        <v>-1.1669420404557835</v>
      </c>
      <c r="Q37" s="1">
        <f t="shared" si="3"/>
        <v>38716.850400000003</v>
      </c>
      <c r="R37">
        <f t="shared" ca="1" si="4"/>
        <v>2.0914881941065376E-6</v>
      </c>
    </row>
    <row r="38" spans="1:18" ht="12.95" customHeight="1" x14ac:dyDescent="0.2">
      <c r="A38" s="48" t="s">
        <v>48</v>
      </c>
      <c r="B38" s="49"/>
      <c r="C38" s="50">
        <v>54060.838553414018</v>
      </c>
      <c r="D38" s="50">
        <v>2.0000000000000001E-4</v>
      </c>
      <c r="E38" s="15">
        <f t="shared" si="0"/>
        <v>-738.41734795096977</v>
      </c>
      <c r="F38" s="81">
        <f>ROUND(2*E38,0)/2+0.5</f>
        <v>-738</v>
      </c>
      <c r="G38">
        <f t="shared" si="2"/>
        <v>-1.1812904848193284</v>
      </c>
      <c r="K38">
        <f>G38</f>
        <v>-1.1812904848193284</v>
      </c>
      <c r="O38">
        <f t="shared" ca="1" si="6"/>
        <v>-1.1907754994128772</v>
      </c>
      <c r="Q38" s="1">
        <f t="shared" si="3"/>
        <v>39042.338553414018</v>
      </c>
      <c r="R38">
        <f t="shared" ca="1" si="4"/>
        <v>8.9965501839833317E-5</v>
      </c>
    </row>
    <row r="39" spans="1:18" ht="12.95" customHeight="1" x14ac:dyDescent="0.2">
      <c r="A39" s="51" t="s">
        <v>51</v>
      </c>
      <c r="B39" s="52" t="s">
        <v>52</v>
      </c>
      <c r="C39" s="53">
        <v>54762.734400000001</v>
      </c>
      <c r="D39" s="53">
        <v>1E-3</v>
      </c>
      <c r="E39" s="15">
        <f t="shared" si="0"/>
        <v>-490.43872022800576</v>
      </c>
      <c r="F39" s="81">
        <f>ROUND(2*E39,0)/2+0.5</f>
        <v>-490</v>
      </c>
      <c r="G39">
        <f t="shared" si="2"/>
        <v>-1.2417840548514505</v>
      </c>
      <c r="K39">
        <f>G39</f>
        <v>-1.2417840548514505</v>
      </c>
      <c r="O39">
        <f t="shared" ca="1" si="6"/>
        <v>-1.2421728717725224</v>
      </c>
      <c r="Q39" s="1">
        <f t="shared" si="3"/>
        <v>39744.234400000001</v>
      </c>
      <c r="R39">
        <f t="shared" ca="1" si="4"/>
        <v>1.5117859811187487E-7</v>
      </c>
    </row>
    <row r="40" spans="1:18" ht="12.95" customHeight="1" x14ac:dyDescent="0.2">
      <c r="A40" s="56" t="s">
        <v>59</v>
      </c>
      <c r="B40" s="57" t="s">
        <v>52</v>
      </c>
      <c r="C40" s="58">
        <v>56152.399100000002</v>
      </c>
      <c r="D40" s="58">
        <v>1E-4</v>
      </c>
      <c r="E40" s="15">
        <f t="shared" si="0"/>
        <v>0.52749217688542382</v>
      </c>
      <c r="F40" s="81">
        <f>ROUND(2*E40,0)/2+0.5</f>
        <v>1</v>
      </c>
      <c r="G40">
        <f t="shared" si="2"/>
        <v>-1.3374187992303632</v>
      </c>
      <c r="K40">
        <f>G40</f>
        <v>-1.3374187992303632</v>
      </c>
      <c r="O40">
        <f t="shared" ca="1" si="6"/>
        <v>-1.3439313791458525</v>
      </c>
      <c r="Q40" s="1">
        <f t="shared" si="3"/>
        <v>41133.899100000002</v>
      </c>
      <c r="R40">
        <f t="shared" ca="1" si="4"/>
        <v>4.2413697155634073E-5</v>
      </c>
    </row>
    <row r="41" spans="1:18" ht="12.95" customHeight="1" x14ac:dyDescent="0.2">
      <c r="A41" s="106" t="s">
        <v>157</v>
      </c>
      <c r="B41" s="107" t="s">
        <v>52</v>
      </c>
      <c r="C41" s="106">
        <v>57754.311999999998</v>
      </c>
      <c r="D41" s="106">
        <v>3.5000000000000001E-3</v>
      </c>
      <c r="E41" s="15">
        <f t="shared" ref="E41:E48" si="7">(C41-C$7)/C$8</f>
        <v>566.48063836785684</v>
      </c>
      <c r="F41" s="81">
        <f t="shared" ref="F41:F48" si="8">ROUND(2*E41,0)/2+0.5</f>
        <v>567</v>
      </c>
      <c r="G41">
        <f t="shared" ref="G41:G48" si="9">+C41-(C$7+F41*C$8)</f>
        <v>-1.4700370585342171</v>
      </c>
      <c r="K41">
        <f t="shared" ref="K41:K48" si="10">G41</f>
        <v>-1.4700370585342171</v>
      </c>
      <c r="O41">
        <f t="shared" ref="O41:O48" ca="1" si="11">+C$11+C$12*$F41</f>
        <v>-1.4612334467085915</v>
      </c>
      <c r="Q41" s="1">
        <f t="shared" ref="Q41:Q48" si="12">+C41-15018.5</f>
        <v>42735.811999999998</v>
      </c>
      <c r="R41">
        <f t="shared" ref="R41:R48" ca="1" si="13">+(O41-G41)^2</f>
        <v>7.7503581176295125E-5</v>
      </c>
    </row>
    <row r="42" spans="1:18" ht="12.95" customHeight="1" x14ac:dyDescent="0.2">
      <c r="A42" s="106" t="s">
        <v>157</v>
      </c>
      <c r="B42" s="107" t="s">
        <v>52</v>
      </c>
      <c r="C42" s="106">
        <v>58071.3001</v>
      </c>
      <c r="D42" s="106">
        <v>3.5000000000000001E-3</v>
      </c>
      <c r="E42" s="15">
        <f t="shared" si="7"/>
        <v>678.47200350393894</v>
      </c>
      <c r="F42" s="81">
        <f t="shared" si="8"/>
        <v>679</v>
      </c>
      <c r="G42">
        <f t="shared" si="9"/>
        <v>-1.4944777741548023</v>
      </c>
      <c r="K42">
        <f t="shared" si="10"/>
        <v>-1.4944777741548023</v>
      </c>
      <c r="O42">
        <f t="shared" ca="1" si="11"/>
        <v>-1.4844451632581088</v>
      </c>
      <c r="Q42" s="1">
        <f t="shared" si="12"/>
        <v>43052.8001</v>
      </c>
      <c r="R42">
        <f t="shared" ca="1" si="13"/>
        <v>1.0065328140445304E-4</v>
      </c>
    </row>
    <row r="43" spans="1:18" ht="12.95" customHeight="1" x14ac:dyDescent="0.2">
      <c r="A43" s="106" t="s">
        <v>157</v>
      </c>
      <c r="B43" s="107" t="s">
        <v>52</v>
      </c>
      <c r="C43" s="106">
        <v>59132.654000000002</v>
      </c>
      <c r="D43" s="106">
        <v>3.5000000000000001E-3</v>
      </c>
      <c r="E43" s="15">
        <f t="shared" si="7"/>
        <v>1053.4465598153715</v>
      </c>
      <c r="F43" s="81">
        <f t="shared" si="8"/>
        <v>1054</v>
      </c>
      <c r="G43">
        <f t="shared" si="9"/>
        <v>-1.5664953487794264</v>
      </c>
      <c r="K43">
        <f t="shared" si="10"/>
        <v>-1.5664953487794264</v>
      </c>
      <c r="O43">
        <f t="shared" ca="1" si="11"/>
        <v>-1.5621629642051531</v>
      </c>
      <c r="Q43" s="1">
        <f t="shared" si="12"/>
        <v>44114.154000000002</v>
      </c>
      <c r="R43">
        <f t="shared" ca="1" si="13"/>
        <v>1.87695560994014E-5</v>
      </c>
    </row>
    <row r="44" spans="1:18" ht="12.95" customHeight="1" x14ac:dyDescent="0.2">
      <c r="A44" s="106" t="s">
        <v>157</v>
      </c>
      <c r="B44" s="107" t="s">
        <v>52</v>
      </c>
      <c r="C44" s="106">
        <v>59155.296600000001</v>
      </c>
      <c r="D44" s="106">
        <v>3.5000000000000001E-3</v>
      </c>
      <c r="E44" s="15">
        <f t="shared" si="7"/>
        <v>1061.4461524948133</v>
      </c>
      <c r="F44" s="81">
        <f t="shared" si="8"/>
        <v>1062</v>
      </c>
      <c r="G44">
        <f t="shared" si="9"/>
        <v>-1.5676482570415828</v>
      </c>
      <c r="K44">
        <f t="shared" si="10"/>
        <v>-1.5676482570415828</v>
      </c>
      <c r="O44">
        <f t="shared" ca="1" si="11"/>
        <v>-1.5638209439586901</v>
      </c>
      <c r="Q44" s="1">
        <f t="shared" si="12"/>
        <v>44136.796600000001</v>
      </c>
      <c r="R44">
        <f t="shared" ca="1" si="13"/>
        <v>1.4648325434481984E-5</v>
      </c>
    </row>
    <row r="45" spans="1:18" ht="12.95" customHeight="1" x14ac:dyDescent="0.2">
      <c r="A45" s="106" t="s">
        <v>157</v>
      </c>
      <c r="B45" s="107" t="s">
        <v>52</v>
      </c>
      <c r="C45" s="106">
        <v>59466.632899999997</v>
      </c>
      <c r="D45" s="106">
        <v>3.5000000000000001E-3</v>
      </c>
      <c r="E45" s="15">
        <f t="shared" si="7"/>
        <v>1171.4407461512187</v>
      </c>
      <c r="F45" s="81">
        <f t="shared" si="8"/>
        <v>1172</v>
      </c>
      <c r="G45">
        <f t="shared" si="9"/>
        <v>-1.5829507456001011</v>
      </c>
      <c r="K45">
        <f t="shared" si="10"/>
        <v>-1.5829507456001011</v>
      </c>
      <c r="O45">
        <f t="shared" ca="1" si="11"/>
        <v>-1.586618165569823</v>
      </c>
      <c r="Q45" s="1">
        <f t="shared" si="12"/>
        <v>44448.132899999997</v>
      </c>
      <c r="R45">
        <f t="shared" ca="1" si="13"/>
        <v>1.3449969234315529E-5</v>
      </c>
    </row>
    <row r="46" spans="1:18" ht="12.95" customHeight="1" x14ac:dyDescent="0.2">
      <c r="A46" s="106" t="s">
        <v>157</v>
      </c>
      <c r="B46" s="107" t="s">
        <v>52</v>
      </c>
      <c r="C46" s="106">
        <v>59783.624600000003</v>
      </c>
      <c r="D46" s="106">
        <v>3.5000000000000001E-3</v>
      </c>
      <c r="E46" s="15">
        <f t="shared" si="7"/>
        <v>1283.4333831612762</v>
      </c>
      <c r="F46" s="81">
        <f t="shared" si="8"/>
        <v>1284</v>
      </c>
      <c r="G46">
        <f t="shared" si="9"/>
        <v>-1.6037914612170425</v>
      </c>
      <c r="K46">
        <f t="shared" si="10"/>
        <v>-1.6037914612170425</v>
      </c>
      <c r="O46">
        <f t="shared" ca="1" si="11"/>
        <v>-1.6098298821193402</v>
      </c>
      <c r="Q46" s="1">
        <f t="shared" si="12"/>
        <v>44765.124600000003</v>
      </c>
      <c r="R46">
        <f t="shared" ca="1" si="13"/>
        <v>3.6462526993305403E-5</v>
      </c>
    </row>
    <row r="47" spans="1:18" ht="12.95" customHeight="1" x14ac:dyDescent="0.2">
      <c r="A47" s="106" t="s">
        <v>157</v>
      </c>
      <c r="B47" s="107" t="s">
        <v>52</v>
      </c>
      <c r="C47" s="106">
        <v>59888.3436</v>
      </c>
      <c r="D47" s="106">
        <v>3.5000000000000001E-3</v>
      </c>
      <c r="E47" s="15">
        <f t="shared" si="7"/>
        <v>1320.430430576258</v>
      </c>
      <c r="F47" s="81">
        <f t="shared" si="8"/>
        <v>1321</v>
      </c>
      <c r="G47">
        <f t="shared" si="9"/>
        <v>-1.6121486619158532</v>
      </c>
      <c r="K47">
        <f t="shared" si="10"/>
        <v>-1.6121486619158532</v>
      </c>
      <c r="O47">
        <f t="shared" ca="1" si="11"/>
        <v>-1.6174980384794486</v>
      </c>
      <c r="Q47" s="1">
        <f t="shared" si="12"/>
        <v>44869.8436</v>
      </c>
      <c r="R47">
        <f t="shared" ca="1" si="13"/>
        <v>2.8615829619144426E-5</v>
      </c>
    </row>
    <row r="48" spans="1:18" ht="12.95" customHeight="1" x14ac:dyDescent="0.2">
      <c r="A48" s="106" t="s">
        <v>157</v>
      </c>
      <c r="B48" s="107" t="s">
        <v>52</v>
      </c>
      <c r="C48" s="106">
        <v>60304.386299999998</v>
      </c>
      <c r="D48" s="106">
        <v>3.5000000000000001E-3</v>
      </c>
      <c r="E48" s="15">
        <f t="shared" si="7"/>
        <v>1467.4176200887377</v>
      </c>
      <c r="F48" s="81">
        <f t="shared" si="8"/>
        <v>1468</v>
      </c>
      <c r="G48">
        <f t="shared" si="9"/>
        <v>-1.6484083511677454</v>
      </c>
      <c r="K48">
        <f t="shared" si="10"/>
        <v>-1.6484083511677454</v>
      </c>
      <c r="O48">
        <f t="shared" ca="1" si="11"/>
        <v>-1.64796341645069</v>
      </c>
      <c r="Q48" s="1">
        <f t="shared" si="12"/>
        <v>45285.886299999998</v>
      </c>
      <c r="R48">
        <f t="shared" ca="1" si="13"/>
        <v>1.9796690244118932E-7</v>
      </c>
    </row>
    <row r="49" spans="3:4" ht="12.95" customHeight="1" x14ac:dyDescent="0.2">
      <c r="C49" s="60"/>
      <c r="D49" s="60"/>
    </row>
    <row r="50" spans="3:4" ht="12.95" customHeight="1" x14ac:dyDescent="0.2">
      <c r="C50" s="60"/>
      <c r="D50" s="60"/>
    </row>
    <row r="51" spans="3:4" ht="12.95" customHeight="1" x14ac:dyDescent="0.2">
      <c r="C51" s="60"/>
      <c r="D51" s="60"/>
    </row>
    <row r="52" spans="3:4" ht="12.95" customHeight="1" x14ac:dyDescent="0.2">
      <c r="C52" s="60"/>
      <c r="D52" s="60"/>
    </row>
    <row r="53" spans="3:4" x14ac:dyDescent="0.2">
      <c r="C53" s="60"/>
      <c r="D53" s="60"/>
    </row>
    <row r="54" spans="3:4" x14ac:dyDescent="0.2">
      <c r="C54" s="60"/>
      <c r="D54" s="60"/>
    </row>
    <row r="55" spans="3:4" x14ac:dyDescent="0.2">
      <c r="C55" s="60"/>
      <c r="D55" s="60"/>
    </row>
    <row r="56" spans="3:4" x14ac:dyDescent="0.2">
      <c r="C56" s="60"/>
      <c r="D56" s="60"/>
    </row>
    <row r="57" spans="3:4" x14ac:dyDescent="0.2">
      <c r="C57" s="60"/>
      <c r="D57" s="60"/>
    </row>
    <row r="58" spans="3:4" x14ac:dyDescent="0.2">
      <c r="C58" s="60"/>
      <c r="D58" s="60"/>
    </row>
    <row r="59" spans="3:4" x14ac:dyDescent="0.2">
      <c r="C59" s="60"/>
      <c r="D59" s="60"/>
    </row>
    <row r="60" spans="3:4" x14ac:dyDescent="0.2">
      <c r="C60" s="60"/>
      <c r="D60" s="60"/>
    </row>
    <row r="61" spans="3:4" x14ac:dyDescent="0.2">
      <c r="C61" s="60"/>
      <c r="D61" s="60"/>
    </row>
    <row r="62" spans="3:4" x14ac:dyDescent="0.2">
      <c r="C62" s="60"/>
      <c r="D62" s="60"/>
    </row>
    <row r="63" spans="3:4" x14ac:dyDescent="0.2">
      <c r="C63" s="60"/>
      <c r="D63" s="60"/>
    </row>
    <row r="64" spans="3:4" x14ac:dyDescent="0.2">
      <c r="C64" s="60"/>
      <c r="D64" s="60"/>
    </row>
    <row r="65" spans="3:4" x14ac:dyDescent="0.2">
      <c r="C65" s="60"/>
      <c r="D65" s="60"/>
    </row>
    <row r="66" spans="3:4" x14ac:dyDescent="0.2">
      <c r="C66" s="60"/>
      <c r="D66" s="60"/>
    </row>
    <row r="67" spans="3:4" x14ac:dyDescent="0.2">
      <c r="C67" s="60"/>
      <c r="D67" s="60"/>
    </row>
    <row r="68" spans="3:4" x14ac:dyDescent="0.2">
      <c r="C68" s="60"/>
      <c r="D68" s="60"/>
    </row>
    <row r="69" spans="3:4" x14ac:dyDescent="0.2">
      <c r="C69" s="60"/>
      <c r="D69" s="60"/>
    </row>
    <row r="70" spans="3:4" x14ac:dyDescent="0.2">
      <c r="C70" s="60"/>
      <c r="D70" s="60"/>
    </row>
    <row r="71" spans="3:4" x14ac:dyDescent="0.2">
      <c r="C71" s="60"/>
      <c r="D71" s="60"/>
    </row>
    <row r="72" spans="3:4" x14ac:dyDescent="0.2">
      <c r="C72" s="60"/>
      <c r="D72" s="60"/>
    </row>
    <row r="73" spans="3:4" x14ac:dyDescent="0.2">
      <c r="C73" s="60"/>
      <c r="D73" s="60"/>
    </row>
    <row r="74" spans="3:4" x14ac:dyDescent="0.2">
      <c r="C74" s="60"/>
      <c r="D74" s="60"/>
    </row>
    <row r="75" spans="3:4" x14ac:dyDescent="0.2">
      <c r="C75" s="60"/>
      <c r="D75" s="60"/>
    </row>
    <row r="76" spans="3:4" x14ac:dyDescent="0.2">
      <c r="C76" s="60"/>
      <c r="D76" s="60"/>
    </row>
    <row r="77" spans="3:4" x14ac:dyDescent="0.2">
      <c r="C77" s="60"/>
      <c r="D77" s="60"/>
    </row>
    <row r="78" spans="3:4" x14ac:dyDescent="0.2">
      <c r="C78" s="60"/>
      <c r="D78" s="60"/>
    </row>
    <row r="79" spans="3:4" x14ac:dyDescent="0.2">
      <c r="C79" s="60"/>
      <c r="D79" s="60"/>
    </row>
    <row r="80" spans="3:4" x14ac:dyDescent="0.2">
      <c r="C80" s="60"/>
      <c r="D80" s="60"/>
    </row>
    <row r="81" spans="3:4" x14ac:dyDescent="0.2">
      <c r="C81" s="60"/>
      <c r="D81" s="60"/>
    </row>
    <row r="82" spans="3:4" x14ac:dyDescent="0.2">
      <c r="C82" s="60"/>
      <c r="D82" s="60"/>
    </row>
    <row r="83" spans="3:4" x14ac:dyDescent="0.2">
      <c r="C83" s="60"/>
      <c r="D83" s="60"/>
    </row>
    <row r="84" spans="3:4" x14ac:dyDescent="0.2">
      <c r="C84" s="60"/>
      <c r="D84" s="60"/>
    </row>
    <row r="85" spans="3:4" x14ac:dyDescent="0.2">
      <c r="C85" s="60"/>
      <c r="D85" s="60"/>
    </row>
    <row r="86" spans="3:4" x14ac:dyDescent="0.2">
      <c r="C86" s="60"/>
      <c r="D86" s="60"/>
    </row>
    <row r="87" spans="3:4" x14ac:dyDescent="0.2">
      <c r="C87" s="60"/>
      <c r="D87" s="60"/>
    </row>
    <row r="88" spans="3:4" x14ac:dyDescent="0.2">
      <c r="C88" s="60"/>
      <c r="D88" s="6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77"/>
  <sheetViews>
    <sheetView topLeftCell="A6" workbookViewId="0">
      <selection activeCell="A15" sqref="A15:D29"/>
    </sheetView>
  </sheetViews>
  <sheetFormatPr defaultRowHeight="12.75" x14ac:dyDescent="0.2"/>
  <cols>
    <col min="1" max="1" width="19.7109375" style="60" customWidth="1"/>
    <col min="2" max="2" width="4.42578125" style="8" customWidth="1"/>
    <col min="3" max="3" width="12.7109375" style="60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60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59" t="s">
        <v>60</v>
      </c>
      <c r="I1" s="61" t="s">
        <v>61</v>
      </c>
      <c r="J1" s="62" t="s">
        <v>62</v>
      </c>
    </row>
    <row r="2" spans="1:16" x14ac:dyDescent="0.2">
      <c r="I2" s="63" t="s">
        <v>63</v>
      </c>
      <c r="J2" s="64" t="s">
        <v>64</v>
      </c>
    </row>
    <row r="3" spans="1:16" x14ac:dyDescent="0.2">
      <c r="A3" s="65" t="s">
        <v>65</v>
      </c>
      <c r="I3" s="63" t="s">
        <v>66</v>
      </c>
      <c r="J3" s="64" t="s">
        <v>67</v>
      </c>
    </row>
    <row r="4" spans="1:16" x14ac:dyDescent="0.2">
      <c r="I4" s="63" t="s">
        <v>68</v>
      </c>
      <c r="J4" s="64" t="s">
        <v>67</v>
      </c>
    </row>
    <row r="5" spans="1:16" ht="13.5" thickBot="1" x14ac:dyDescent="0.25">
      <c r="I5" s="66" t="s">
        <v>69</v>
      </c>
      <c r="J5" s="67" t="s">
        <v>70</v>
      </c>
    </row>
    <row r="10" spans="1:16" ht="13.5" thickBot="1" x14ac:dyDescent="0.25"/>
    <row r="11" spans="1:16" ht="12.75" customHeight="1" thickBot="1" x14ac:dyDescent="0.25">
      <c r="A11" s="60" t="str">
        <f t="shared" ref="A11:A29" si="0">P11</f>
        <v>BAVM 117 </v>
      </c>
      <c r="B11" s="2" t="str">
        <f t="shared" ref="B11:B29" si="1">IF(H11=INT(H11),"I","II")</f>
        <v>I</v>
      </c>
      <c r="C11" s="60">
        <f t="shared" ref="C11:C29" si="2">1*G11</f>
        <v>50752.247499999998</v>
      </c>
      <c r="D11" s="8" t="str">
        <f t="shared" ref="D11:D29" si="3">VLOOKUP(F11,I$1:J$5,2,FALSE)</f>
        <v>vis</v>
      </c>
      <c r="E11" s="68">
        <f>VLOOKUP(C11,'Active 1'!C$21:E$972,3,FALSE)</f>
        <v>8520.5708103939178</v>
      </c>
      <c r="F11" s="2" t="s">
        <v>69</v>
      </c>
      <c r="G11" s="8" t="str">
        <f t="shared" ref="G11:G29" si="4">MID(I11,3,LEN(I11)-3)</f>
        <v>50752.2475</v>
      </c>
      <c r="H11" s="60">
        <f t="shared" ref="H11:H29" si="5">1*K11</f>
        <v>8524</v>
      </c>
      <c r="I11" s="69" t="s">
        <v>118</v>
      </c>
      <c r="J11" s="70" t="s">
        <v>119</v>
      </c>
      <c r="K11" s="69">
        <v>8524</v>
      </c>
      <c r="L11" s="69" t="s">
        <v>120</v>
      </c>
      <c r="M11" s="70" t="s">
        <v>121</v>
      </c>
      <c r="N11" s="70" t="s">
        <v>122</v>
      </c>
      <c r="O11" s="71" t="s">
        <v>123</v>
      </c>
      <c r="P11" s="72" t="s">
        <v>124</v>
      </c>
    </row>
    <row r="12" spans="1:16" ht="12.75" customHeight="1" thickBot="1" x14ac:dyDescent="0.25">
      <c r="A12" s="60" t="str">
        <f t="shared" si="0"/>
        <v>BAVM 220 </v>
      </c>
      <c r="B12" s="2" t="str">
        <f t="shared" si="1"/>
        <v>I</v>
      </c>
      <c r="C12" s="60">
        <f t="shared" si="2"/>
        <v>53735.350400000003</v>
      </c>
      <c r="D12" s="8" t="str">
        <f t="shared" si="3"/>
        <v>vis</v>
      </c>
      <c r="E12" s="68">
        <f>VLOOKUP(C12,'Active 1'!C$21:E$972,3,FALSE)</f>
        <v>9574.117677436665</v>
      </c>
      <c r="F12" s="2" t="s">
        <v>69</v>
      </c>
      <c r="G12" s="8" t="str">
        <f t="shared" si="4"/>
        <v>53735.3504</v>
      </c>
      <c r="H12" s="60">
        <f t="shared" si="5"/>
        <v>9578</v>
      </c>
      <c r="I12" s="69" t="s">
        <v>125</v>
      </c>
      <c r="J12" s="70" t="s">
        <v>126</v>
      </c>
      <c r="K12" s="69">
        <v>9578</v>
      </c>
      <c r="L12" s="69" t="s">
        <v>127</v>
      </c>
      <c r="M12" s="70" t="s">
        <v>128</v>
      </c>
      <c r="N12" s="70" t="s">
        <v>129</v>
      </c>
      <c r="O12" s="71" t="s">
        <v>130</v>
      </c>
      <c r="P12" s="72" t="s">
        <v>131</v>
      </c>
    </row>
    <row r="13" spans="1:16" ht="12.75" customHeight="1" thickBot="1" x14ac:dyDescent="0.25">
      <c r="A13" s="60" t="str">
        <f t="shared" si="0"/>
        <v>IBVS 5871 </v>
      </c>
      <c r="B13" s="2" t="str">
        <f t="shared" si="1"/>
        <v>II</v>
      </c>
      <c r="C13" s="60">
        <f t="shared" si="2"/>
        <v>54762.734400000001</v>
      </c>
      <c r="D13" s="8" t="str">
        <f t="shared" si="3"/>
        <v>vis</v>
      </c>
      <c r="E13" s="68">
        <f>VLOOKUP(C13,'Active 1'!C$21:E$972,3,FALSE)</f>
        <v>9936.9604055402924</v>
      </c>
      <c r="F13" s="2" t="s">
        <v>69</v>
      </c>
      <c r="G13" s="8" t="str">
        <f t="shared" si="4"/>
        <v>54762.7344</v>
      </c>
      <c r="H13" s="60">
        <f t="shared" si="5"/>
        <v>9940.5</v>
      </c>
      <c r="I13" s="69" t="s">
        <v>139</v>
      </c>
      <c r="J13" s="70" t="s">
        <v>140</v>
      </c>
      <c r="K13" s="69" t="s">
        <v>141</v>
      </c>
      <c r="L13" s="69" t="s">
        <v>142</v>
      </c>
      <c r="M13" s="70" t="s">
        <v>128</v>
      </c>
      <c r="N13" s="70" t="s">
        <v>69</v>
      </c>
      <c r="O13" s="71" t="s">
        <v>143</v>
      </c>
      <c r="P13" s="72" t="s">
        <v>144</v>
      </c>
    </row>
    <row r="14" spans="1:16" ht="12.75" customHeight="1" thickBot="1" x14ac:dyDescent="0.25">
      <c r="A14" s="60" t="str">
        <f t="shared" si="0"/>
        <v>OEJV 0160 </v>
      </c>
      <c r="B14" s="2" t="str">
        <f t="shared" si="1"/>
        <v>II</v>
      </c>
      <c r="C14" s="60">
        <f t="shared" si="2"/>
        <v>56152.399100000002</v>
      </c>
      <c r="D14" s="8" t="str">
        <f t="shared" si="3"/>
        <v>vis</v>
      </c>
      <c r="E14" s="68">
        <f>VLOOKUP(C14,'Active 1'!C$21:E$972,3,FALSE)</f>
        <v>10427.75034474249</v>
      </c>
      <c r="F14" s="2" t="s">
        <v>69</v>
      </c>
      <c r="G14" s="8" t="str">
        <f t="shared" si="4"/>
        <v>56152.3991</v>
      </c>
      <c r="H14" s="60">
        <f t="shared" si="5"/>
        <v>10431.5</v>
      </c>
      <c r="I14" s="69" t="s">
        <v>145</v>
      </c>
      <c r="J14" s="70" t="s">
        <v>146</v>
      </c>
      <c r="K14" s="69" t="s">
        <v>147</v>
      </c>
      <c r="L14" s="69" t="s">
        <v>148</v>
      </c>
      <c r="M14" s="70" t="s">
        <v>128</v>
      </c>
      <c r="N14" s="70" t="s">
        <v>61</v>
      </c>
      <c r="O14" s="71" t="s">
        <v>149</v>
      </c>
      <c r="P14" s="72" t="s">
        <v>150</v>
      </c>
    </row>
    <row r="15" spans="1:16" ht="12.75" customHeight="1" thickBot="1" x14ac:dyDescent="0.25">
      <c r="A15" s="60" t="str">
        <f t="shared" si="0"/>
        <v> VB 5.10 </v>
      </c>
      <c r="B15" s="2" t="str">
        <f t="shared" si="1"/>
        <v>I</v>
      </c>
      <c r="C15" s="60">
        <f t="shared" si="2"/>
        <v>26626.348000000002</v>
      </c>
      <c r="D15" s="8" t="str">
        <f t="shared" si="3"/>
        <v>vis</v>
      </c>
      <c r="E15" s="68">
        <f>VLOOKUP(C15,'Active 1'!C$21:E$972,3,FALSE)</f>
        <v>-8.829287006415016E-3</v>
      </c>
      <c r="F15" s="2" t="s">
        <v>69</v>
      </c>
      <c r="G15" s="8" t="str">
        <f t="shared" si="4"/>
        <v>26626.348</v>
      </c>
      <c r="H15" s="60">
        <f t="shared" si="5"/>
        <v>0</v>
      </c>
      <c r="I15" s="69" t="s">
        <v>71</v>
      </c>
      <c r="J15" s="70" t="s">
        <v>72</v>
      </c>
      <c r="K15" s="69">
        <v>0</v>
      </c>
      <c r="L15" s="69" t="s">
        <v>73</v>
      </c>
      <c r="M15" s="70" t="s">
        <v>74</v>
      </c>
      <c r="N15" s="70"/>
      <c r="O15" s="71" t="s">
        <v>75</v>
      </c>
      <c r="P15" s="71" t="s">
        <v>76</v>
      </c>
    </row>
    <row r="16" spans="1:16" ht="12.75" customHeight="1" thickBot="1" x14ac:dyDescent="0.25">
      <c r="A16" s="60" t="str">
        <f t="shared" si="0"/>
        <v> VB 5.10 </v>
      </c>
      <c r="B16" s="2" t="str">
        <f t="shared" si="1"/>
        <v>I</v>
      </c>
      <c r="C16" s="60">
        <f t="shared" si="2"/>
        <v>26677.335999999999</v>
      </c>
      <c r="D16" s="8" t="str">
        <f t="shared" si="3"/>
        <v>vis</v>
      </c>
      <c r="E16" s="68">
        <f>VLOOKUP(C16,'Active 1'!C$21:E$972,3,FALSE)</f>
        <v>17.998678149888537</v>
      </c>
      <c r="F16" s="2" t="s">
        <v>69</v>
      </c>
      <c r="G16" s="8" t="str">
        <f t="shared" si="4"/>
        <v>26677.336</v>
      </c>
      <c r="H16" s="60">
        <f t="shared" si="5"/>
        <v>18</v>
      </c>
      <c r="I16" s="69" t="s">
        <v>77</v>
      </c>
      <c r="J16" s="70" t="s">
        <v>78</v>
      </c>
      <c r="K16" s="69">
        <v>18</v>
      </c>
      <c r="L16" s="69" t="s">
        <v>79</v>
      </c>
      <c r="M16" s="70" t="s">
        <v>74</v>
      </c>
      <c r="N16" s="70"/>
      <c r="O16" s="71" t="s">
        <v>75</v>
      </c>
      <c r="P16" s="71" t="s">
        <v>76</v>
      </c>
    </row>
    <row r="17" spans="1:16" ht="12.75" customHeight="1" thickBot="1" x14ac:dyDescent="0.25">
      <c r="A17" s="60" t="str">
        <f t="shared" si="0"/>
        <v> VB 5.10 </v>
      </c>
      <c r="B17" s="2" t="str">
        <f t="shared" si="1"/>
        <v>I</v>
      </c>
      <c r="C17" s="60">
        <f t="shared" si="2"/>
        <v>27359.436000000002</v>
      </c>
      <c r="D17" s="8" t="str">
        <f t="shared" si="3"/>
        <v>vis</v>
      </c>
      <c r="E17" s="68">
        <f>VLOOKUP(C17,'Active 1'!C$21:E$972,3,FALSE)</f>
        <v>258.89694485394983</v>
      </c>
      <c r="F17" s="2" t="s">
        <v>69</v>
      </c>
      <c r="G17" s="8" t="str">
        <f t="shared" si="4"/>
        <v>27359.436</v>
      </c>
      <c r="H17" s="60">
        <f t="shared" si="5"/>
        <v>259</v>
      </c>
      <c r="I17" s="69" t="s">
        <v>80</v>
      </c>
      <c r="J17" s="70" t="s">
        <v>81</v>
      </c>
      <c r="K17" s="69">
        <v>259</v>
      </c>
      <c r="L17" s="69" t="s">
        <v>82</v>
      </c>
      <c r="M17" s="70" t="s">
        <v>74</v>
      </c>
      <c r="N17" s="70"/>
      <c r="O17" s="71" t="s">
        <v>75</v>
      </c>
      <c r="P17" s="71" t="s">
        <v>76</v>
      </c>
    </row>
    <row r="18" spans="1:16" ht="12.75" customHeight="1" thickBot="1" x14ac:dyDescent="0.25">
      <c r="A18" s="60" t="str">
        <f t="shared" si="0"/>
        <v> VB 5.10 </v>
      </c>
      <c r="B18" s="2" t="str">
        <f t="shared" si="1"/>
        <v>I</v>
      </c>
      <c r="C18" s="60">
        <f t="shared" si="2"/>
        <v>28078.363000000001</v>
      </c>
      <c r="D18" s="8" t="str">
        <f t="shared" si="3"/>
        <v>vis</v>
      </c>
      <c r="E18" s="68">
        <f>VLOOKUP(C18,'Active 1'!C$21:E$972,3,FALSE)</f>
        <v>512.80145766255566</v>
      </c>
      <c r="F18" s="2" t="s">
        <v>69</v>
      </c>
      <c r="G18" s="8" t="str">
        <f t="shared" si="4"/>
        <v>28078.363</v>
      </c>
      <c r="H18" s="60">
        <f t="shared" si="5"/>
        <v>513</v>
      </c>
      <c r="I18" s="69" t="s">
        <v>83</v>
      </c>
      <c r="J18" s="70" t="s">
        <v>84</v>
      </c>
      <c r="K18" s="69">
        <v>513</v>
      </c>
      <c r="L18" s="69" t="s">
        <v>85</v>
      </c>
      <c r="M18" s="70" t="s">
        <v>74</v>
      </c>
      <c r="N18" s="70"/>
      <c r="O18" s="71" t="s">
        <v>75</v>
      </c>
      <c r="P18" s="71" t="s">
        <v>76</v>
      </c>
    </row>
    <row r="19" spans="1:16" ht="12.75" customHeight="1" thickBot="1" x14ac:dyDescent="0.25">
      <c r="A19" s="60" t="str">
        <f t="shared" si="0"/>
        <v> VB 5.10 </v>
      </c>
      <c r="B19" s="2" t="str">
        <f t="shared" si="1"/>
        <v>I</v>
      </c>
      <c r="C19" s="60">
        <f t="shared" si="2"/>
        <v>28078.41</v>
      </c>
      <c r="D19" s="8" t="str">
        <f t="shared" si="3"/>
        <v>vis</v>
      </c>
      <c r="E19" s="68">
        <f>VLOOKUP(C19,'Active 1'!C$21:E$972,3,FALSE)</f>
        <v>512.81805672212863</v>
      </c>
      <c r="F19" s="2" t="s">
        <v>69</v>
      </c>
      <c r="G19" s="8" t="str">
        <f t="shared" si="4"/>
        <v>28078.410</v>
      </c>
      <c r="H19" s="60">
        <f t="shared" si="5"/>
        <v>513</v>
      </c>
      <c r="I19" s="69" t="s">
        <v>86</v>
      </c>
      <c r="J19" s="70" t="s">
        <v>87</v>
      </c>
      <c r="K19" s="69">
        <v>513</v>
      </c>
      <c r="L19" s="69" t="s">
        <v>88</v>
      </c>
      <c r="M19" s="70" t="s">
        <v>74</v>
      </c>
      <c r="N19" s="70"/>
      <c r="O19" s="71" t="s">
        <v>75</v>
      </c>
      <c r="P19" s="71" t="s">
        <v>76</v>
      </c>
    </row>
    <row r="20" spans="1:16" ht="12.75" customHeight="1" thickBot="1" x14ac:dyDescent="0.25">
      <c r="A20" s="60" t="str">
        <f t="shared" si="0"/>
        <v> VB 5.10 </v>
      </c>
      <c r="B20" s="2" t="str">
        <f t="shared" si="1"/>
        <v>I</v>
      </c>
      <c r="C20" s="60">
        <f t="shared" si="2"/>
        <v>29162.431</v>
      </c>
      <c r="D20" s="8" t="str">
        <f t="shared" si="3"/>
        <v>vis</v>
      </c>
      <c r="E20" s="68">
        <f>VLOOKUP(C20,'Active 1'!C$21:E$972,3,FALSE)</f>
        <v>895.6633579547962</v>
      </c>
      <c r="F20" s="2" t="s">
        <v>69</v>
      </c>
      <c r="G20" s="8" t="str">
        <f t="shared" si="4"/>
        <v>29162.431</v>
      </c>
      <c r="H20" s="60">
        <f t="shared" si="5"/>
        <v>896</v>
      </c>
      <c r="I20" s="69" t="s">
        <v>89</v>
      </c>
      <c r="J20" s="70" t="s">
        <v>90</v>
      </c>
      <c r="K20" s="69">
        <v>896</v>
      </c>
      <c r="L20" s="69" t="s">
        <v>91</v>
      </c>
      <c r="M20" s="70" t="s">
        <v>74</v>
      </c>
      <c r="N20" s="70"/>
      <c r="O20" s="71" t="s">
        <v>75</v>
      </c>
      <c r="P20" s="71" t="s">
        <v>76</v>
      </c>
    </row>
    <row r="21" spans="1:16" ht="12.75" customHeight="1" thickBot="1" x14ac:dyDescent="0.25">
      <c r="A21" s="60" t="str">
        <f t="shared" si="0"/>
        <v> VB 5.10 </v>
      </c>
      <c r="B21" s="2" t="str">
        <f t="shared" si="1"/>
        <v>I</v>
      </c>
      <c r="C21" s="60">
        <f t="shared" si="2"/>
        <v>29196.397000000001</v>
      </c>
      <c r="D21" s="8" t="str">
        <f t="shared" si="3"/>
        <v>vis</v>
      </c>
      <c r="E21" s="68">
        <f>VLOOKUP(C21,'Active 1'!C$21:E$972,3,FALSE)</f>
        <v>907.65918045423939</v>
      </c>
      <c r="F21" s="2" t="s">
        <v>69</v>
      </c>
      <c r="G21" s="8" t="str">
        <f t="shared" si="4"/>
        <v>29196.397</v>
      </c>
      <c r="H21" s="60">
        <f t="shared" si="5"/>
        <v>908</v>
      </c>
      <c r="I21" s="69" t="s">
        <v>92</v>
      </c>
      <c r="J21" s="70" t="s">
        <v>93</v>
      </c>
      <c r="K21" s="69">
        <v>908</v>
      </c>
      <c r="L21" s="69" t="s">
        <v>94</v>
      </c>
      <c r="M21" s="70" t="s">
        <v>74</v>
      </c>
      <c r="N21" s="70"/>
      <c r="O21" s="71" t="s">
        <v>75</v>
      </c>
      <c r="P21" s="71" t="s">
        <v>76</v>
      </c>
    </row>
    <row r="22" spans="1:16" ht="12.75" customHeight="1" thickBot="1" x14ac:dyDescent="0.25">
      <c r="A22" s="60" t="str">
        <f t="shared" si="0"/>
        <v> AC 216.15 </v>
      </c>
      <c r="B22" s="2" t="str">
        <f t="shared" si="1"/>
        <v>I</v>
      </c>
      <c r="C22" s="60">
        <f t="shared" si="2"/>
        <v>36490.442000000003</v>
      </c>
      <c r="D22" s="8" t="str">
        <f t="shared" si="3"/>
        <v>vis</v>
      </c>
      <c r="E22" s="68">
        <f>VLOOKUP(C22,'Active 1'!C$21:E$972,3,FALSE)</f>
        <v>3483.7078503874154</v>
      </c>
      <c r="F22" s="2" t="s">
        <v>69</v>
      </c>
      <c r="G22" s="8" t="str">
        <f t="shared" si="4"/>
        <v>36490.442</v>
      </c>
      <c r="H22" s="60">
        <f t="shared" si="5"/>
        <v>3485</v>
      </c>
      <c r="I22" s="69" t="s">
        <v>95</v>
      </c>
      <c r="J22" s="70" t="s">
        <v>96</v>
      </c>
      <c r="K22" s="69">
        <v>3485</v>
      </c>
      <c r="L22" s="69" t="s">
        <v>97</v>
      </c>
      <c r="M22" s="70" t="s">
        <v>74</v>
      </c>
      <c r="N22" s="70"/>
      <c r="O22" s="71" t="s">
        <v>98</v>
      </c>
      <c r="P22" s="71" t="s">
        <v>99</v>
      </c>
    </row>
    <row r="23" spans="1:16" ht="12.75" customHeight="1" thickBot="1" x14ac:dyDescent="0.25">
      <c r="A23" s="60" t="str">
        <f t="shared" si="0"/>
        <v> VB 5.10 </v>
      </c>
      <c r="B23" s="2" t="str">
        <f t="shared" si="1"/>
        <v>I</v>
      </c>
      <c r="C23" s="60">
        <f t="shared" si="2"/>
        <v>36541.269999999997</v>
      </c>
      <c r="D23" s="8" t="str">
        <f t="shared" si="3"/>
        <v>vis</v>
      </c>
      <c r="E23" s="68">
        <f>VLOOKUP(C23,'Active 1'!C$21:E$972,3,FALSE)</f>
        <v>3501.6588503874632</v>
      </c>
      <c r="F23" s="2" t="s">
        <v>69</v>
      </c>
      <c r="G23" s="8" t="str">
        <f t="shared" si="4"/>
        <v>36541.270</v>
      </c>
      <c r="H23" s="60">
        <f t="shared" si="5"/>
        <v>3503</v>
      </c>
      <c r="I23" s="69" t="s">
        <v>100</v>
      </c>
      <c r="J23" s="70" t="s">
        <v>101</v>
      </c>
      <c r="K23" s="69">
        <v>3503</v>
      </c>
      <c r="L23" s="69" t="s">
        <v>102</v>
      </c>
      <c r="M23" s="70" t="s">
        <v>74</v>
      </c>
      <c r="N23" s="70"/>
      <c r="O23" s="71" t="s">
        <v>75</v>
      </c>
      <c r="P23" s="71" t="s">
        <v>76</v>
      </c>
    </row>
    <row r="24" spans="1:16" ht="12.75" customHeight="1" thickBot="1" x14ac:dyDescent="0.25">
      <c r="A24" s="60" t="str">
        <f t="shared" si="0"/>
        <v> VB 5.10 </v>
      </c>
      <c r="B24" s="2" t="str">
        <f t="shared" si="1"/>
        <v>I</v>
      </c>
      <c r="C24" s="60">
        <f t="shared" si="2"/>
        <v>36541.315999999999</v>
      </c>
      <c r="D24" s="8" t="str">
        <f t="shared" si="3"/>
        <v>vis</v>
      </c>
      <c r="E24" s="68">
        <f>VLOOKUP(C24,'Active 1'!C$21:E$972,3,FALSE)</f>
        <v>3501.6750962755573</v>
      </c>
      <c r="F24" s="2" t="s">
        <v>69</v>
      </c>
      <c r="G24" s="8" t="str">
        <f t="shared" si="4"/>
        <v>36541.316</v>
      </c>
      <c r="H24" s="60">
        <f t="shared" si="5"/>
        <v>3503</v>
      </c>
      <c r="I24" s="69" t="s">
        <v>103</v>
      </c>
      <c r="J24" s="70" t="s">
        <v>104</v>
      </c>
      <c r="K24" s="69">
        <v>3503</v>
      </c>
      <c r="L24" s="69" t="s">
        <v>105</v>
      </c>
      <c r="M24" s="70" t="s">
        <v>74</v>
      </c>
      <c r="N24" s="70"/>
      <c r="O24" s="71" t="s">
        <v>75</v>
      </c>
      <c r="P24" s="71" t="s">
        <v>76</v>
      </c>
    </row>
    <row r="25" spans="1:16" ht="12.75" customHeight="1" thickBot="1" x14ac:dyDescent="0.25">
      <c r="A25" s="60" t="str">
        <f t="shared" si="0"/>
        <v> VB 5.10 </v>
      </c>
      <c r="B25" s="2" t="str">
        <f t="shared" si="1"/>
        <v>I</v>
      </c>
      <c r="C25" s="60">
        <f t="shared" si="2"/>
        <v>36821.56</v>
      </c>
      <c r="D25" s="8" t="str">
        <f t="shared" si="3"/>
        <v>vis</v>
      </c>
      <c r="E25" s="68">
        <f>VLOOKUP(C25,'Active 1'!C$21:E$972,3,FALSE)</f>
        <v>3600.6492845972293</v>
      </c>
      <c r="F25" s="2" t="s">
        <v>69</v>
      </c>
      <c r="G25" s="8" t="str">
        <f t="shared" si="4"/>
        <v>36821.560</v>
      </c>
      <c r="H25" s="60">
        <f t="shared" si="5"/>
        <v>3602</v>
      </c>
      <c r="I25" s="69" t="s">
        <v>106</v>
      </c>
      <c r="J25" s="70" t="s">
        <v>107</v>
      </c>
      <c r="K25" s="69">
        <v>3602</v>
      </c>
      <c r="L25" s="69" t="s">
        <v>108</v>
      </c>
      <c r="M25" s="70" t="s">
        <v>74</v>
      </c>
      <c r="N25" s="70"/>
      <c r="O25" s="71" t="s">
        <v>75</v>
      </c>
      <c r="P25" s="71" t="s">
        <v>76</v>
      </c>
    </row>
    <row r="26" spans="1:16" ht="12.75" customHeight="1" thickBot="1" x14ac:dyDescent="0.25">
      <c r="A26" s="60" t="str">
        <f t="shared" si="0"/>
        <v> VB 5.10 </v>
      </c>
      <c r="B26" s="2" t="str">
        <f t="shared" si="1"/>
        <v>I</v>
      </c>
      <c r="C26" s="60">
        <f t="shared" si="2"/>
        <v>36824.438000000002</v>
      </c>
      <c r="D26" s="8" t="str">
        <f t="shared" si="3"/>
        <v>vis</v>
      </c>
      <c r="E26" s="68">
        <f>VLOOKUP(C26,'Active 1'!C$21:E$972,3,FALSE)</f>
        <v>3601.6657121174981</v>
      </c>
      <c r="F26" s="2" t="s">
        <v>69</v>
      </c>
      <c r="G26" s="8" t="str">
        <f t="shared" si="4"/>
        <v>36824.438</v>
      </c>
      <c r="H26" s="60">
        <f t="shared" si="5"/>
        <v>3603</v>
      </c>
      <c r="I26" s="69" t="s">
        <v>109</v>
      </c>
      <c r="J26" s="70" t="s">
        <v>110</v>
      </c>
      <c r="K26" s="69">
        <v>3603</v>
      </c>
      <c r="L26" s="69" t="s">
        <v>111</v>
      </c>
      <c r="M26" s="70" t="s">
        <v>74</v>
      </c>
      <c r="N26" s="70"/>
      <c r="O26" s="71" t="s">
        <v>75</v>
      </c>
      <c r="P26" s="71" t="s">
        <v>76</v>
      </c>
    </row>
    <row r="27" spans="1:16" ht="12.75" customHeight="1" thickBot="1" x14ac:dyDescent="0.25">
      <c r="A27" s="60" t="str">
        <f t="shared" si="0"/>
        <v> VB 5.10 </v>
      </c>
      <c r="B27" s="2" t="str">
        <f t="shared" si="1"/>
        <v>I</v>
      </c>
      <c r="C27" s="60">
        <f t="shared" si="2"/>
        <v>36841.474999999999</v>
      </c>
      <c r="D27" s="8" t="str">
        <f t="shared" si="3"/>
        <v>vis</v>
      </c>
      <c r="E27" s="68">
        <f>VLOOKUP(C27,'Active 1'!C$21:E$972,3,FALSE)</f>
        <v>3607.6826946271535</v>
      </c>
      <c r="F27" s="2" t="s">
        <v>69</v>
      </c>
      <c r="G27" s="8" t="str">
        <f t="shared" si="4"/>
        <v>36841.475</v>
      </c>
      <c r="H27" s="60">
        <f t="shared" si="5"/>
        <v>3609</v>
      </c>
      <c r="I27" s="69" t="s">
        <v>112</v>
      </c>
      <c r="J27" s="70" t="s">
        <v>113</v>
      </c>
      <c r="K27" s="69">
        <v>3609</v>
      </c>
      <c r="L27" s="69" t="s">
        <v>114</v>
      </c>
      <c r="M27" s="70" t="s">
        <v>74</v>
      </c>
      <c r="N27" s="70"/>
      <c r="O27" s="71" t="s">
        <v>75</v>
      </c>
      <c r="P27" s="71" t="s">
        <v>76</v>
      </c>
    </row>
    <row r="28" spans="1:16" ht="12.75" customHeight="1" thickBot="1" x14ac:dyDescent="0.25">
      <c r="A28" s="60" t="str">
        <f t="shared" si="0"/>
        <v> VB 5.10 </v>
      </c>
      <c r="B28" s="2" t="str">
        <f t="shared" si="1"/>
        <v>I</v>
      </c>
      <c r="C28" s="60">
        <f t="shared" si="2"/>
        <v>37206.491999999998</v>
      </c>
      <c r="D28" s="8" t="str">
        <f t="shared" si="3"/>
        <v>vis</v>
      </c>
      <c r="E28" s="68">
        <f>VLOOKUP(C28,'Active 1'!C$21:E$972,3,FALSE)</f>
        <v>3736.5962888472327</v>
      </c>
      <c r="F28" s="2" t="s">
        <v>69</v>
      </c>
      <c r="G28" s="8" t="str">
        <f t="shared" si="4"/>
        <v>37206.492</v>
      </c>
      <c r="H28" s="60">
        <f t="shared" si="5"/>
        <v>3738</v>
      </c>
      <c r="I28" s="69" t="s">
        <v>115</v>
      </c>
      <c r="J28" s="70" t="s">
        <v>116</v>
      </c>
      <c r="K28" s="69">
        <v>3738</v>
      </c>
      <c r="L28" s="69" t="s">
        <v>117</v>
      </c>
      <c r="M28" s="70" t="s">
        <v>74</v>
      </c>
      <c r="N28" s="70"/>
      <c r="O28" s="71" t="s">
        <v>75</v>
      </c>
      <c r="P28" s="71" t="s">
        <v>76</v>
      </c>
    </row>
    <row r="29" spans="1:16" ht="12.75" customHeight="1" thickBot="1" x14ac:dyDescent="0.25">
      <c r="A29" s="60" t="str">
        <f t="shared" si="0"/>
        <v>IBVS 5760 </v>
      </c>
      <c r="B29" s="2" t="str">
        <f t="shared" si="1"/>
        <v>I</v>
      </c>
      <c r="C29" s="60">
        <f t="shared" si="2"/>
        <v>54060.838600000003</v>
      </c>
      <c r="D29" s="8" t="str">
        <f t="shared" si="3"/>
        <v>vis</v>
      </c>
      <c r="E29" s="68" t="e">
        <f>VLOOKUP(C29,'Active 1'!C$21:E$972,3,FALSE)</f>
        <v>#N/A</v>
      </c>
      <c r="F29" s="2" t="s">
        <v>69</v>
      </c>
      <c r="G29" s="8" t="str">
        <f t="shared" si="4"/>
        <v>54060.8386</v>
      </c>
      <c r="H29" s="60">
        <f t="shared" si="5"/>
        <v>9693</v>
      </c>
      <c r="I29" s="69" t="s">
        <v>132</v>
      </c>
      <c r="J29" s="70" t="s">
        <v>133</v>
      </c>
      <c r="K29" s="69" t="s">
        <v>134</v>
      </c>
      <c r="L29" s="69" t="s">
        <v>135</v>
      </c>
      <c r="M29" s="70" t="s">
        <v>128</v>
      </c>
      <c r="N29" s="70" t="s">
        <v>136</v>
      </c>
      <c r="O29" s="71" t="s">
        <v>137</v>
      </c>
      <c r="P29" s="72" t="s">
        <v>138</v>
      </c>
    </row>
    <row r="30" spans="1:16" x14ac:dyDescent="0.2">
      <c r="B30" s="2"/>
      <c r="E30" s="68"/>
      <c r="F30" s="2"/>
    </row>
    <row r="31" spans="1:16" x14ac:dyDescent="0.2">
      <c r="B31" s="2"/>
      <c r="E31" s="68"/>
      <c r="F31" s="2"/>
    </row>
    <row r="32" spans="1:16" x14ac:dyDescent="0.2">
      <c r="B32" s="2"/>
      <c r="E32" s="68"/>
      <c r="F32" s="2"/>
    </row>
    <row r="33" spans="2:6" x14ac:dyDescent="0.2">
      <c r="B33" s="2"/>
      <c r="E33" s="68"/>
      <c r="F33" s="2"/>
    </row>
    <row r="34" spans="2:6" x14ac:dyDescent="0.2">
      <c r="B34" s="2"/>
      <c r="E34" s="68"/>
      <c r="F34" s="2"/>
    </row>
    <row r="35" spans="2:6" x14ac:dyDescent="0.2">
      <c r="B35" s="2"/>
      <c r="E35" s="68"/>
      <c r="F35" s="2"/>
    </row>
    <row r="36" spans="2:6" x14ac:dyDescent="0.2">
      <c r="B36" s="2"/>
      <c r="E36" s="68"/>
      <c r="F36" s="2"/>
    </row>
    <row r="37" spans="2:6" x14ac:dyDescent="0.2">
      <c r="B37" s="2"/>
      <c r="E37" s="68"/>
      <c r="F37" s="2"/>
    </row>
    <row r="38" spans="2:6" x14ac:dyDescent="0.2">
      <c r="B38" s="2"/>
      <c r="E38" s="68"/>
      <c r="F38" s="2"/>
    </row>
    <row r="39" spans="2:6" x14ac:dyDescent="0.2">
      <c r="B39" s="2"/>
      <c r="E39" s="68"/>
      <c r="F39" s="2"/>
    </row>
    <row r="40" spans="2:6" x14ac:dyDescent="0.2">
      <c r="B40" s="2"/>
      <c r="E40" s="68"/>
      <c r="F40" s="2"/>
    </row>
    <row r="41" spans="2:6" x14ac:dyDescent="0.2">
      <c r="B41" s="2"/>
      <c r="E41" s="68"/>
      <c r="F41" s="2"/>
    </row>
    <row r="42" spans="2:6" x14ac:dyDescent="0.2">
      <c r="B42" s="2"/>
      <c r="E42" s="68"/>
      <c r="F42" s="2"/>
    </row>
    <row r="43" spans="2:6" x14ac:dyDescent="0.2">
      <c r="B43" s="2"/>
      <c r="E43" s="68"/>
      <c r="F43" s="2"/>
    </row>
    <row r="44" spans="2:6" x14ac:dyDescent="0.2">
      <c r="B44" s="2"/>
      <c r="E44" s="68"/>
      <c r="F44" s="2"/>
    </row>
    <row r="45" spans="2:6" x14ac:dyDescent="0.2">
      <c r="B45" s="2"/>
      <c r="E45" s="68"/>
      <c r="F45" s="2"/>
    </row>
    <row r="46" spans="2:6" x14ac:dyDescent="0.2">
      <c r="B46" s="2"/>
      <c r="E46" s="68"/>
      <c r="F46" s="2"/>
    </row>
    <row r="47" spans="2:6" x14ac:dyDescent="0.2">
      <c r="B47" s="2"/>
      <c r="E47" s="68"/>
      <c r="F47" s="2"/>
    </row>
    <row r="48" spans="2:6" x14ac:dyDescent="0.2">
      <c r="B48" s="2"/>
      <c r="E48" s="68"/>
      <c r="F48" s="2"/>
    </row>
    <row r="49" spans="2:6" x14ac:dyDescent="0.2">
      <c r="B49" s="2"/>
      <c r="E49" s="68"/>
      <c r="F49" s="2"/>
    </row>
    <row r="50" spans="2:6" x14ac:dyDescent="0.2">
      <c r="B50" s="2"/>
      <c r="E50" s="68"/>
      <c r="F50" s="2"/>
    </row>
    <row r="51" spans="2:6" x14ac:dyDescent="0.2">
      <c r="B51" s="2"/>
      <c r="E51" s="68"/>
      <c r="F51" s="2"/>
    </row>
    <row r="52" spans="2:6" x14ac:dyDescent="0.2">
      <c r="B52" s="2"/>
      <c r="E52" s="68"/>
      <c r="F52" s="2"/>
    </row>
    <row r="53" spans="2:6" x14ac:dyDescent="0.2">
      <c r="B53" s="2"/>
      <c r="E53" s="68"/>
      <c r="F53" s="2"/>
    </row>
    <row r="54" spans="2:6" x14ac:dyDescent="0.2">
      <c r="B54" s="2"/>
      <c r="E54" s="68"/>
      <c r="F54" s="2"/>
    </row>
    <row r="55" spans="2:6" x14ac:dyDescent="0.2">
      <c r="B55" s="2"/>
      <c r="E55" s="68"/>
      <c r="F55" s="2"/>
    </row>
    <row r="56" spans="2:6" x14ac:dyDescent="0.2">
      <c r="B56" s="2"/>
      <c r="E56" s="68"/>
      <c r="F56" s="2"/>
    </row>
    <row r="57" spans="2:6" x14ac:dyDescent="0.2">
      <c r="B57" s="2"/>
      <c r="E57" s="68"/>
      <c r="F57" s="2"/>
    </row>
    <row r="58" spans="2:6" x14ac:dyDescent="0.2">
      <c r="B58" s="2"/>
      <c r="E58" s="68"/>
      <c r="F58" s="2"/>
    </row>
    <row r="59" spans="2:6" x14ac:dyDescent="0.2">
      <c r="B59" s="2"/>
      <c r="E59" s="68"/>
      <c r="F59" s="2"/>
    </row>
    <row r="60" spans="2:6" x14ac:dyDescent="0.2">
      <c r="B60" s="2"/>
      <c r="E60" s="68"/>
      <c r="F60" s="2"/>
    </row>
    <row r="61" spans="2:6" x14ac:dyDescent="0.2">
      <c r="B61" s="2"/>
      <c r="E61" s="68"/>
      <c r="F61" s="2"/>
    </row>
    <row r="62" spans="2:6" x14ac:dyDescent="0.2">
      <c r="B62" s="2"/>
      <c r="E62" s="68"/>
      <c r="F62" s="2"/>
    </row>
    <row r="63" spans="2:6" x14ac:dyDescent="0.2">
      <c r="B63" s="2"/>
      <c r="E63" s="68"/>
      <c r="F63" s="2"/>
    </row>
    <row r="64" spans="2:6" x14ac:dyDescent="0.2">
      <c r="B64" s="2"/>
      <c r="E64" s="68"/>
      <c r="F64" s="2"/>
    </row>
    <row r="65" spans="2:6" x14ac:dyDescent="0.2">
      <c r="B65" s="2"/>
      <c r="E65" s="68"/>
      <c r="F65" s="2"/>
    </row>
    <row r="66" spans="2:6" x14ac:dyDescent="0.2">
      <c r="B66" s="2"/>
      <c r="E66" s="68"/>
      <c r="F66" s="2"/>
    </row>
    <row r="67" spans="2:6" x14ac:dyDescent="0.2">
      <c r="B67" s="2"/>
      <c r="E67" s="68"/>
      <c r="F67" s="2"/>
    </row>
    <row r="68" spans="2:6" x14ac:dyDescent="0.2">
      <c r="B68" s="2"/>
      <c r="E68" s="68"/>
      <c r="F68" s="2"/>
    </row>
    <row r="69" spans="2:6" x14ac:dyDescent="0.2">
      <c r="B69" s="2"/>
      <c r="E69" s="68"/>
      <c r="F69" s="2"/>
    </row>
    <row r="70" spans="2:6" x14ac:dyDescent="0.2">
      <c r="B70" s="2"/>
      <c r="E70" s="68"/>
      <c r="F70" s="2"/>
    </row>
    <row r="71" spans="2:6" x14ac:dyDescent="0.2">
      <c r="B71" s="2"/>
      <c r="E71" s="68"/>
      <c r="F71" s="2"/>
    </row>
    <row r="72" spans="2:6" x14ac:dyDescent="0.2">
      <c r="B72" s="2"/>
      <c r="E72" s="68"/>
      <c r="F72" s="2"/>
    </row>
    <row r="73" spans="2:6" x14ac:dyDescent="0.2">
      <c r="B73" s="2"/>
      <c r="E73" s="68"/>
      <c r="F73" s="2"/>
    </row>
    <row r="74" spans="2:6" x14ac:dyDescent="0.2">
      <c r="B74" s="2"/>
      <c r="E74" s="68"/>
      <c r="F74" s="2"/>
    </row>
    <row r="75" spans="2:6" x14ac:dyDescent="0.2">
      <c r="B75" s="2"/>
      <c r="E75" s="68"/>
      <c r="F75" s="2"/>
    </row>
    <row r="76" spans="2:6" x14ac:dyDescent="0.2">
      <c r="B76" s="2"/>
      <c r="E76" s="68"/>
      <c r="F76" s="2"/>
    </row>
    <row r="77" spans="2:6" x14ac:dyDescent="0.2">
      <c r="B77" s="2"/>
      <c r="E77" s="68"/>
      <c r="F77" s="2"/>
    </row>
    <row r="78" spans="2:6" x14ac:dyDescent="0.2">
      <c r="B78" s="2"/>
      <c r="E78" s="68"/>
      <c r="F78" s="2"/>
    </row>
    <row r="79" spans="2:6" x14ac:dyDescent="0.2">
      <c r="B79" s="2"/>
      <c r="E79" s="68"/>
      <c r="F79" s="2"/>
    </row>
    <row r="80" spans="2:6" x14ac:dyDescent="0.2">
      <c r="B80" s="2"/>
      <c r="E80" s="68"/>
      <c r="F80" s="2"/>
    </row>
    <row r="81" spans="2:6" x14ac:dyDescent="0.2">
      <c r="B81" s="2"/>
      <c r="E81" s="68"/>
      <c r="F81" s="2"/>
    </row>
    <row r="82" spans="2:6" x14ac:dyDescent="0.2">
      <c r="B82" s="2"/>
      <c r="E82" s="68"/>
      <c r="F82" s="2"/>
    </row>
    <row r="83" spans="2:6" x14ac:dyDescent="0.2">
      <c r="B83" s="2"/>
      <c r="E83" s="68"/>
      <c r="F83" s="2"/>
    </row>
    <row r="84" spans="2:6" x14ac:dyDescent="0.2">
      <c r="B84" s="2"/>
      <c r="E84" s="68"/>
      <c r="F84" s="2"/>
    </row>
    <row r="85" spans="2:6" x14ac:dyDescent="0.2">
      <c r="B85" s="2"/>
      <c r="E85" s="68"/>
      <c r="F85" s="2"/>
    </row>
    <row r="86" spans="2:6" x14ac:dyDescent="0.2">
      <c r="B86" s="2"/>
      <c r="E86" s="68"/>
      <c r="F86" s="2"/>
    </row>
    <row r="87" spans="2:6" x14ac:dyDescent="0.2">
      <c r="B87" s="2"/>
      <c r="E87" s="68"/>
      <c r="F87" s="2"/>
    </row>
    <row r="88" spans="2:6" x14ac:dyDescent="0.2">
      <c r="B88" s="2"/>
      <c r="E88" s="68"/>
      <c r="F88" s="2"/>
    </row>
    <row r="89" spans="2:6" x14ac:dyDescent="0.2">
      <c r="B89" s="2"/>
      <c r="E89" s="68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</sheetData>
  <phoneticPr fontId="7" type="noConversion"/>
  <hyperlinks>
    <hyperlink ref="P11" r:id="rId1" display="http://www.bav-astro.de/sfs/BAVM_link.php?BAVMnr=117" xr:uid="{00000000-0004-0000-0200-000000000000}"/>
    <hyperlink ref="P12" r:id="rId2" display="http://www.bav-astro.de/sfs/BAVM_link.php?BAVMnr=220" xr:uid="{00000000-0004-0000-0200-000001000000}"/>
    <hyperlink ref="P29" r:id="rId3" display="http://www.konkoly.hu/cgi-bin/IBVS?5760" xr:uid="{00000000-0004-0000-0200-000002000000}"/>
    <hyperlink ref="P13" r:id="rId4" display="http://www.konkoly.hu/cgi-bin/IBVS?5871" xr:uid="{00000000-0004-0000-0200-000003000000}"/>
    <hyperlink ref="P14" r:id="rId5" display="http://var.astro.cz/oejv/issues/oejv0160.pdf" xr:uid="{00000000-0004-0000-0200-000004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2"/>
  <sheetViews>
    <sheetView workbookViewId="0">
      <selection activeCell="C16" sqref="C1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0.25" x14ac:dyDescent="0.2">
      <c r="A1" s="6" t="s">
        <v>31</v>
      </c>
      <c r="B1" s="7"/>
      <c r="C1" s="7"/>
      <c r="D1" s="7"/>
      <c r="E1" s="7"/>
    </row>
    <row r="2" spans="1:22" x14ac:dyDescent="0.2">
      <c r="A2" s="8" t="s">
        <v>25</v>
      </c>
      <c r="B2" s="7" t="s">
        <v>32</v>
      </c>
      <c r="C2" s="7"/>
      <c r="D2" s="7"/>
      <c r="E2" s="7"/>
    </row>
    <row r="3" spans="1:22" ht="13.5" thickBot="1" x14ac:dyDescent="0.25">
      <c r="A3" s="8"/>
      <c r="B3" s="7"/>
      <c r="C3" s="9"/>
      <c r="D3" s="9"/>
      <c r="E3" s="7"/>
    </row>
    <row r="4" spans="1:22" ht="13.5" thickBot="1" x14ac:dyDescent="0.25">
      <c r="A4" s="10" t="s">
        <v>0</v>
      </c>
      <c r="B4" s="11"/>
      <c r="C4" s="12">
        <v>26626.373</v>
      </c>
      <c r="D4" s="13">
        <v>2.8304239999999998</v>
      </c>
      <c r="E4" s="14"/>
    </row>
    <row r="5" spans="1:22" x14ac:dyDescent="0.2">
      <c r="A5" s="8"/>
      <c r="B5" s="7"/>
      <c r="C5" s="15"/>
      <c r="D5" s="15"/>
      <c r="E5" s="7"/>
    </row>
    <row r="6" spans="1:22" x14ac:dyDescent="0.2">
      <c r="A6" s="10" t="s">
        <v>1</v>
      </c>
      <c r="B6" s="7"/>
      <c r="C6" s="7"/>
      <c r="D6" s="7"/>
      <c r="E6" s="7"/>
    </row>
    <row r="7" spans="1:22" x14ac:dyDescent="0.2">
      <c r="A7" s="8" t="s">
        <v>2</v>
      </c>
      <c r="B7" s="7"/>
      <c r="C7" s="7">
        <f>C4</f>
        <v>26626.373</v>
      </c>
      <c r="D7" s="7"/>
      <c r="E7" s="7"/>
    </row>
    <row r="8" spans="1:22" x14ac:dyDescent="0.2">
      <c r="A8" s="8" t="s">
        <v>3</v>
      </c>
      <c r="B8" s="7"/>
      <c r="C8" s="7">
        <f>D4</f>
        <v>2.8304239999999998</v>
      </c>
      <c r="D8" s="7"/>
      <c r="E8" s="7"/>
    </row>
    <row r="9" spans="1:22" x14ac:dyDescent="0.2">
      <c r="A9" s="8" t="s">
        <v>33</v>
      </c>
      <c r="B9" s="7"/>
      <c r="C9" s="7">
        <v>0.2</v>
      </c>
      <c r="D9" s="7"/>
      <c r="E9" s="7"/>
    </row>
    <row r="10" spans="1:22" ht="13.5" thickBot="1" x14ac:dyDescent="0.25">
      <c r="A10" s="8"/>
      <c r="B10" s="7"/>
      <c r="C10" s="3" t="s">
        <v>20</v>
      </c>
      <c r="D10" s="3" t="s">
        <v>21</v>
      </c>
      <c r="E10" s="7"/>
    </row>
    <row r="11" spans="1:22" x14ac:dyDescent="0.2">
      <c r="A11" s="8" t="s">
        <v>15</v>
      </c>
      <c r="B11" s="7"/>
      <c r="C11" s="8">
        <f>INTERCEPT(G22:G32,F22:F32)</f>
        <v>0.20049861857272688</v>
      </c>
      <c r="D11" s="2"/>
      <c r="E11" s="7"/>
    </row>
    <row r="12" spans="1:22" x14ac:dyDescent="0.2">
      <c r="A12" s="8" t="s">
        <v>16</v>
      </c>
      <c r="B12" s="7"/>
      <c r="C12" s="7">
        <f>SLOPE(G22:G45,F22:F45)</f>
        <v>1.0617110945864102E-3</v>
      </c>
      <c r="D12" s="7"/>
      <c r="E12" s="7"/>
    </row>
    <row r="13" spans="1:22" x14ac:dyDescent="0.2">
      <c r="A13" s="8" t="s">
        <v>19</v>
      </c>
      <c r="B13" s="7"/>
      <c r="C13" s="7"/>
      <c r="D13" s="7"/>
      <c r="E13" s="7"/>
    </row>
    <row r="14" spans="1:22" x14ac:dyDescent="0.2">
      <c r="A14" s="8" t="s">
        <v>24</v>
      </c>
      <c r="B14" s="7"/>
      <c r="C14" s="7"/>
      <c r="D14" s="7"/>
      <c r="E14" s="7"/>
      <c r="S14">
        <v>2.5</v>
      </c>
      <c r="T14">
        <v>3</v>
      </c>
      <c r="U14" s="20">
        <v>3.5</v>
      </c>
      <c r="V14">
        <v>4</v>
      </c>
    </row>
    <row r="15" spans="1:22" x14ac:dyDescent="0.2">
      <c r="A15" s="16" t="s">
        <v>17</v>
      </c>
      <c r="B15" s="7"/>
      <c r="C15" s="7">
        <v>50752.247499999998</v>
      </c>
      <c r="D15" s="7"/>
      <c r="E15" s="7"/>
      <c r="Q15" t="s">
        <v>36</v>
      </c>
      <c r="R15">
        <f>SUM(R21:R54)</f>
        <v>4.0199696049571819E-2</v>
      </c>
      <c r="S15">
        <v>5.6299234907669235E-2</v>
      </c>
      <c r="T15">
        <v>1.201266351551929E-2</v>
      </c>
      <c r="U15" s="20">
        <v>3.2702583089398566E-4</v>
      </c>
      <c r="V15">
        <v>2.1252934377663069E-2</v>
      </c>
    </row>
    <row r="16" spans="1:22" x14ac:dyDescent="0.2">
      <c r="A16" s="10" t="s">
        <v>4</v>
      </c>
      <c r="B16" s="7"/>
      <c r="C16" s="7">
        <f>C8+C12</f>
        <v>2.8314857110945861</v>
      </c>
      <c r="D16" s="7"/>
      <c r="E16" s="7"/>
      <c r="Q16" t="s">
        <v>37</v>
      </c>
      <c r="R16">
        <f>COUNT(R21:R53)</f>
        <v>3</v>
      </c>
      <c r="S16">
        <v>3</v>
      </c>
      <c r="T16">
        <v>3</v>
      </c>
      <c r="U16" s="20">
        <v>3</v>
      </c>
      <c r="V16">
        <v>3</v>
      </c>
    </row>
    <row r="17" spans="1:22" ht="13.5" thickBot="1" x14ac:dyDescent="0.25">
      <c r="A17" s="8"/>
      <c r="B17" s="7"/>
      <c r="C17" s="9"/>
      <c r="D17" s="9"/>
      <c r="E17" s="7"/>
      <c r="Q17" t="s">
        <v>38</v>
      </c>
      <c r="R17">
        <f>SQRT(R15/(R16-1))</f>
        <v>0.14177393281131023</v>
      </c>
      <c r="S17">
        <v>0.16777847732601051</v>
      </c>
      <c r="T17">
        <v>7.750052746762208E-2</v>
      </c>
      <c r="U17" s="20">
        <v>1.2787216876513545E-2</v>
      </c>
      <c r="V17">
        <v>0.10308475730597387</v>
      </c>
    </row>
    <row r="18" spans="1:22" ht="13.5" thickBot="1" x14ac:dyDescent="0.25">
      <c r="A18" s="10" t="s">
        <v>5</v>
      </c>
      <c r="B18" s="11"/>
      <c r="C18" s="12">
        <f>C15</f>
        <v>50752.247499999998</v>
      </c>
      <c r="D18" s="13">
        <f>C16</f>
        <v>2.8314857110945861</v>
      </c>
      <c r="E18" s="14"/>
    </row>
    <row r="19" spans="1:22" x14ac:dyDescent="0.2">
      <c r="A19" s="7"/>
      <c r="B19" s="7"/>
      <c r="C19" s="15">
        <f>COUNT(C21:C1909)</f>
        <v>3</v>
      </c>
      <c r="F19" s="20">
        <v>3.5</v>
      </c>
      <c r="G19" s="19" t="s">
        <v>39</v>
      </c>
    </row>
    <row r="20" spans="1:22" ht="13.5" thickBot="1" x14ac:dyDescent="0.25">
      <c r="A20" s="17" t="s">
        <v>6</v>
      </c>
      <c r="B20" s="17" t="s">
        <v>7</v>
      </c>
      <c r="C20" s="17" t="s">
        <v>8</v>
      </c>
      <c r="D20" s="17" t="s">
        <v>13</v>
      </c>
      <c r="E20" s="17" t="s">
        <v>9</v>
      </c>
      <c r="F20" s="3" t="s">
        <v>10</v>
      </c>
      <c r="G20" s="3" t="s">
        <v>11</v>
      </c>
      <c r="H20" s="5" t="s">
        <v>12</v>
      </c>
      <c r="I20" s="5" t="s">
        <v>30</v>
      </c>
      <c r="J20" s="5" t="s">
        <v>18</v>
      </c>
      <c r="K20" s="5" t="s">
        <v>26</v>
      </c>
      <c r="L20" s="5" t="s">
        <v>27</v>
      </c>
      <c r="M20" s="5" t="s">
        <v>28</v>
      </c>
      <c r="N20" s="5" t="s">
        <v>29</v>
      </c>
      <c r="O20" s="5" t="s">
        <v>23</v>
      </c>
      <c r="P20" s="4" t="s">
        <v>22</v>
      </c>
      <c r="Q20" s="3" t="s">
        <v>14</v>
      </c>
    </row>
    <row r="21" spans="1:22" x14ac:dyDescent="0.2">
      <c r="A21" s="15" t="s">
        <v>12</v>
      </c>
      <c r="B21" s="15"/>
      <c r="C21" s="15">
        <f>C$4</f>
        <v>26626.373</v>
      </c>
      <c r="D21" s="15"/>
      <c r="E21" s="15">
        <f>(C21-C$7)/C$8</f>
        <v>0</v>
      </c>
      <c r="F21">
        <f>ROUND(2*E21,0)/2</f>
        <v>0</v>
      </c>
      <c r="G21">
        <f>+C21-(C$7+F21*C$8)</f>
        <v>0</v>
      </c>
      <c r="H21">
        <v>0</v>
      </c>
      <c r="O21">
        <f>+C$11+C$12*$F21</f>
        <v>0.20049861857272688</v>
      </c>
      <c r="Q21" s="1">
        <f>+C21-15018.5</f>
        <v>11607.873</v>
      </c>
      <c r="R21">
        <f>+(O21-G21)^2</f>
        <v>4.0199696049571819E-2</v>
      </c>
    </row>
    <row r="22" spans="1:22" x14ac:dyDescent="0.2">
      <c r="A22" s="7" t="s">
        <v>34</v>
      </c>
      <c r="B22" s="7"/>
      <c r="C22" s="7">
        <v>50752.247499999998</v>
      </c>
      <c r="D22" s="7"/>
      <c r="E22" s="15">
        <f>(C22-C$7)/C$8</f>
        <v>8523.7669338586729</v>
      </c>
      <c r="F22" s="18">
        <f>ROUND(2*E22,0)/2-F$19</f>
        <v>8520.5</v>
      </c>
      <c r="G22">
        <f>+C22-(C$7+F22*C$8)</f>
        <v>9.2468079999962356</v>
      </c>
      <c r="I22">
        <f>+G22</f>
        <v>9.2468079999962356</v>
      </c>
      <c r="O22">
        <f>+C$11+C$12*$F22</f>
        <v>9.2468079999962356</v>
      </c>
      <c r="Q22" s="1">
        <f>+C22-15018.5</f>
        <v>35733.747499999998</v>
      </c>
      <c r="R22">
        <f>+(O22-G22)^2</f>
        <v>0</v>
      </c>
    </row>
    <row r="23" spans="1:22" x14ac:dyDescent="0.2">
      <c r="A23" s="7" t="s">
        <v>35</v>
      </c>
      <c r="B23" s="7"/>
      <c r="C23" s="7">
        <v>54060.838553414018</v>
      </c>
      <c r="D23" s="7">
        <v>2.0000000000000001E-4</v>
      </c>
      <c r="E23" s="15">
        <f>(C23-C$7)/C$8</f>
        <v>9692.7052460740942</v>
      </c>
      <c r="F23" s="18">
        <f>ROUND(2*E23,0)/2-F$19</f>
        <v>9689</v>
      </c>
      <c r="G23">
        <f>+C23-(C$7+F23*C$8)</f>
        <v>10.487417414020456</v>
      </c>
      <c r="I23">
        <f>+G23</f>
        <v>10.487417414020456</v>
      </c>
      <c r="O23">
        <f>+C$11+C$12*$F23</f>
        <v>10.487417414020456</v>
      </c>
      <c r="Q23" s="1">
        <f>+C23-15018.5</f>
        <v>39042.338553414018</v>
      </c>
      <c r="R23">
        <f>+(O23-G23)^2</f>
        <v>0</v>
      </c>
    </row>
    <row r="24" spans="1:22" x14ac:dyDescent="0.2">
      <c r="D24" s="2"/>
      <c r="Q24" s="1"/>
    </row>
    <row r="25" spans="1:22" x14ac:dyDescent="0.2">
      <c r="D25" s="2"/>
      <c r="Q25" s="1"/>
    </row>
    <row r="26" spans="1:22" x14ac:dyDescent="0.2">
      <c r="D26" s="2"/>
      <c r="Q26" s="1"/>
    </row>
    <row r="27" spans="1:22" x14ac:dyDescent="0.2">
      <c r="D27" s="2"/>
      <c r="Q27" s="1"/>
    </row>
    <row r="28" spans="1:22" x14ac:dyDescent="0.2">
      <c r="D28" s="2"/>
      <c r="Q28" s="1"/>
    </row>
    <row r="29" spans="1:22" x14ac:dyDescent="0.2">
      <c r="D29" s="2"/>
      <c r="Q29" s="1"/>
    </row>
    <row r="30" spans="1:22" x14ac:dyDescent="0.2">
      <c r="D30" s="2"/>
      <c r="Q30" s="1"/>
    </row>
    <row r="31" spans="1:22" x14ac:dyDescent="0.2">
      <c r="D31" s="2"/>
      <c r="Q31" s="1"/>
    </row>
    <row r="32" spans="1:22" x14ac:dyDescent="0.2">
      <c r="D32" s="2"/>
      <c r="Q32" s="1"/>
    </row>
    <row r="33" spans="4:17" x14ac:dyDescent="0.2">
      <c r="D33" s="2"/>
      <c r="Q33" s="1"/>
    </row>
    <row r="34" spans="4:17" x14ac:dyDescent="0.2">
      <c r="D34" s="2"/>
    </row>
    <row r="35" spans="4:17" x14ac:dyDescent="0.2">
      <c r="D35" s="2"/>
    </row>
    <row r="36" spans="4:17" x14ac:dyDescent="0.2">
      <c r="D36" s="2"/>
    </row>
    <row r="37" spans="4:17" x14ac:dyDescent="0.2">
      <c r="D37" s="2"/>
    </row>
    <row r="38" spans="4:17" x14ac:dyDescent="0.2">
      <c r="D38" s="2"/>
    </row>
    <row r="39" spans="4:17" x14ac:dyDescent="0.2">
      <c r="D39" s="2"/>
    </row>
    <row r="40" spans="4:17" x14ac:dyDescent="0.2">
      <c r="D40" s="2"/>
    </row>
    <row r="41" spans="4:17" x14ac:dyDescent="0.2">
      <c r="D41" s="2"/>
    </row>
    <row r="42" spans="4:17" x14ac:dyDescent="0.2">
      <c r="D42" s="2"/>
    </row>
    <row r="43" spans="4:17" x14ac:dyDescent="0.2">
      <c r="D43" s="2"/>
    </row>
    <row r="44" spans="4:17" x14ac:dyDescent="0.2">
      <c r="D44" s="2"/>
    </row>
    <row r="45" spans="4:17" x14ac:dyDescent="0.2">
      <c r="D45" s="2"/>
    </row>
    <row r="46" spans="4:17" x14ac:dyDescent="0.2">
      <c r="D46" s="2"/>
    </row>
    <row r="47" spans="4:17" x14ac:dyDescent="0.2">
      <c r="D47" s="2"/>
    </row>
    <row r="48" spans="4:17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2"/>
  <sheetViews>
    <sheetView workbookViewId="0">
      <selection activeCell="H37" sqref="H3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1" ht="20.25" x14ac:dyDescent="0.2">
      <c r="A1" s="6" t="s">
        <v>31</v>
      </c>
      <c r="B1" s="7"/>
      <c r="C1" s="7"/>
      <c r="D1" s="7"/>
      <c r="E1" s="7"/>
    </row>
    <row r="2" spans="1:21" x14ac:dyDescent="0.2">
      <c r="A2" s="8" t="s">
        <v>25</v>
      </c>
      <c r="B2" s="7" t="s">
        <v>32</v>
      </c>
      <c r="C2" s="7"/>
      <c r="D2" s="7"/>
      <c r="E2" s="7"/>
    </row>
    <row r="3" spans="1:21" ht="13.5" thickBot="1" x14ac:dyDescent="0.25">
      <c r="A3" s="8"/>
      <c r="B3" s="7"/>
      <c r="C3" s="9"/>
      <c r="D3" s="9"/>
      <c r="E3" s="7"/>
    </row>
    <row r="4" spans="1:21" ht="13.5" thickBot="1" x14ac:dyDescent="0.25">
      <c r="A4" s="10" t="s">
        <v>0</v>
      </c>
      <c r="B4" s="11"/>
      <c r="C4" s="12">
        <v>26626.373</v>
      </c>
      <c r="D4" s="13">
        <v>2.8304239999999998</v>
      </c>
      <c r="E4" s="14"/>
    </row>
    <row r="5" spans="1:21" x14ac:dyDescent="0.2">
      <c r="A5" s="8"/>
      <c r="B5" s="7"/>
      <c r="C5" s="15"/>
      <c r="D5" s="15"/>
      <c r="E5" s="7"/>
    </row>
    <row r="6" spans="1:21" x14ac:dyDescent="0.2">
      <c r="A6" s="10" t="s">
        <v>1</v>
      </c>
      <c r="B6" s="7"/>
      <c r="C6" s="7"/>
      <c r="D6" s="7"/>
      <c r="E6" s="7"/>
    </row>
    <row r="7" spans="1:21" x14ac:dyDescent="0.2">
      <c r="A7" s="8" t="s">
        <v>2</v>
      </c>
      <c r="B7" s="7"/>
      <c r="C7" s="7">
        <f>C4</f>
        <v>26626.373</v>
      </c>
      <c r="D7" s="7"/>
      <c r="E7" s="7"/>
    </row>
    <row r="8" spans="1:21" x14ac:dyDescent="0.2">
      <c r="A8" s="8" t="s">
        <v>3</v>
      </c>
      <c r="B8" s="7"/>
      <c r="C8" s="7">
        <v>2.8314857110945861</v>
      </c>
      <c r="D8" s="7"/>
      <c r="E8" s="7"/>
    </row>
    <row r="9" spans="1:21" x14ac:dyDescent="0.2">
      <c r="A9" s="23" t="s">
        <v>40</v>
      </c>
      <c r="B9" s="8"/>
      <c r="C9" s="24">
        <v>8</v>
      </c>
      <c r="D9" s="8" t="s">
        <v>41</v>
      </c>
      <c r="E9" s="8"/>
    </row>
    <row r="10" spans="1:21" ht="13.5" thickBot="1" x14ac:dyDescent="0.25">
      <c r="A10" s="8"/>
      <c r="B10" s="8"/>
      <c r="C10" s="3" t="s">
        <v>20</v>
      </c>
      <c r="D10" s="3" t="s">
        <v>21</v>
      </c>
      <c r="E10" s="8"/>
    </row>
    <row r="11" spans="1:21" x14ac:dyDescent="0.2">
      <c r="A11" s="8" t="s">
        <v>15</v>
      </c>
      <c r="B11" s="8"/>
      <c r="C11" s="25">
        <f ca="1">INTERCEPT(INDIRECT($G$11):G992,INDIRECT($F$11):F992)</f>
        <v>1.6310627640118702E-3</v>
      </c>
      <c r="D11" s="2"/>
      <c r="E11" s="8"/>
      <c r="F11" s="26" t="str">
        <f>"F"&amp;E19</f>
        <v>F21</v>
      </c>
      <c r="G11" s="27" t="str">
        <f>"G"&amp;E19</f>
        <v>G21</v>
      </c>
    </row>
    <row r="12" spans="1:21" x14ac:dyDescent="0.2">
      <c r="A12" s="8" t="s">
        <v>16</v>
      </c>
      <c r="B12" s="8"/>
      <c r="C12" s="25">
        <f ca="1">SLOPE(INDIRECT($G$11):G992,INDIRECT($F$11):F992)</f>
        <v>2.1752604347045892E-5</v>
      </c>
      <c r="D12" s="2"/>
      <c r="E12" s="8"/>
    </row>
    <row r="13" spans="1:21" x14ac:dyDescent="0.2">
      <c r="A13" s="8" t="s">
        <v>19</v>
      </c>
      <c r="B13" s="8"/>
      <c r="C13" s="2" t="s">
        <v>42</v>
      </c>
      <c r="D13" s="2"/>
      <c r="E13" s="8"/>
    </row>
    <row r="14" spans="1:21" x14ac:dyDescent="0.2">
      <c r="A14" s="8"/>
      <c r="B14" s="8"/>
      <c r="C14" s="8"/>
      <c r="D14" s="8"/>
      <c r="E14" s="8"/>
      <c r="U14" s="20"/>
    </row>
    <row r="15" spans="1:21" x14ac:dyDescent="0.2">
      <c r="A15" s="16" t="s">
        <v>17</v>
      </c>
      <c r="B15" s="8"/>
      <c r="C15" s="28">
        <f ca="1">(C7+C11)+(C8+C12)*INT(MAX(F21:F3533))</f>
        <v>54763.064297839068</v>
      </c>
      <c r="D15" s="29" t="s">
        <v>43</v>
      </c>
      <c r="E15" s="30">
        <f ca="1">TODAY()+15018.5-B9/24</f>
        <v>60541.5</v>
      </c>
      <c r="U15" s="20"/>
    </row>
    <row r="16" spans="1:21" x14ac:dyDescent="0.2">
      <c r="A16" s="10" t="s">
        <v>4</v>
      </c>
      <c r="B16" s="8"/>
      <c r="C16" s="31">
        <f ca="1">+C8+C12</f>
        <v>2.8315074636989332</v>
      </c>
      <c r="D16" s="29" t="s">
        <v>44</v>
      </c>
      <c r="E16" s="30">
        <f ca="1">ROUND(2*(E15-C15)/C16,0)/2+1</f>
        <v>2042</v>
      </c>
      <c r="U16" s="20"/>
    </row>
    <row r="17" spans="1:21" ht="13.5" thickBot="1" x14ac:dyDescent="0.25">
      <c r="A17" s="29" t="s">
        <v>45</v>
      </c>
      <c r="B17" s="8"/>
      <c r="C17" s="8">
        <f>COUNT(C21:C2191)</f>
        <v>5</v>
      </c>
      <c r="D17" s="29" t="s">
        <v>46</v>
      </c>
      <c r="E17" s="32">
        <f ca="1">+C15+C16*E16-15018.5-C9/24</f>
        <v>45526.169205378952</v>
      </c>
      <c r="U17" s="20"/>
    </row>
    <row r="18" spans="1:21" ht="14.25" thickTop="1" thickBot="1" x14ac:dyDescent="0.25">
      <c r="A18" s="10" t="s">
        <v>5</v>
      </c>
      <c r="B18" s="8"/>
      <c r="C18" s="33">
        <f ca="1">+C15</f>
        <v>54763.064297839068</v>
      </c>
      <c r="D18" s="34">
        <f ca="1">+C16</f>
        <v>2.8315074636989332</v>
      </c>
      <c r="E18" s="35" t="s">
        <v>47</v>
      </c>
    </row>
    <row r="19" spans="1:21" ht="13.5" thickTop="1" x14ac:dyDescent="0.2">
      <c r="A19" s="36" t="s">
        <v>49</v>
      </c>
      <c r="E19" s="37">
        <v>21</v>
      </c>
    </row>
    <row r="20" spans="1:21" ht="13.5" thickBot="1" x14ac:dyDescent="0.25">
      <c r="A20" s="17" t="s">
        <v>6</v>
      </c>
      <c r="B20" s="17" t="s">
        <v>7</v>
      </c>
      <c r="C20" s="17" t="s">
        <v>8</v>
      </c>
      <c r="D20" s="17" t="s">
        <v>13</v>
      </c>
      <c r="E20" s="17" t="s">
        <v>9</v>
      </c>
      <c r="F20" s="3" t="s">
        <v>10</v>
      </c>
      <c r="G20" s="3" t="s">
        <v>11</v>
      </c>
      <c r="H20" s="5" t="s">
        <v>12</v>
      </c>
      <c r="I20" s="5" t="s">
        <v>30</v>
      </c>
      <c r="J20" s="5" t="s">
        <v>50</v>
      </c>
      <c r="K20" s="5" t="s">
        <v>26</v>
      </c>
      <c r="L20" s="5" t="s">
        <v>27</v>
      </c>
      <c r="M20" s="5" t="s">
        <v>28</v>
      </c>
      <c r="N20" s="5" t="s">
        <v>29</v>
      </c>
      <c r="O20" s="5" t="s">
        <v>23</v>
      </c>
      <c r="P20" s="4" t="s">
        <v>22</v>
      </c>
      <c r="Q20" s="3" t="s">
        <v>14</v>
      </c>
    </row>
    <row r="21" spans="1:21" x14ac:dyDescent="0.2">
      <c r="A21" s="15" t="s">
        <v>12</v>
      </c>
      <c r="B21" s="15"/>
      <c r="C21" s="21">
        <f>C$4</f>
        <v>26626.373</v>
      </c>
      <c r="D21" s="21"/>
      <c r="E21" s="15">
        <f>(C21-C$7)/C$8</f>
        <v>0</v>
      </c>
      <c r="F21">
        <f>ROUND(2*E21,0)/2</f>
        <v>0</v>
      </c>
      <c r="G21">
        <f>+C21-(C$7+F21*C$8)</f>
        <v>0</v>
      </c>
      <c r="H21">
        <v>0</v>
      </c>
      <c r="O21">
        <f ca="1">+C$11+C$12*$F21</f>
        <v>1.6310627640118702E-3</v>
      </c>
      <c r="Q21" s="1">
        <f>+C21-15018.5</f>
        <v>11607.873</v>
      </c>
      <c r="R21">
        <f ca="1">+(O21-G21)^2</f>
        <v>2.6603657401460418E-6</v>
      </c>
    </row>
    <row r="22" spans="1:21" x14ac:dyDescent="0.2">
      <c r="A22" s="7" t="s">
        <v>34</v>
      </c>
      <c r="B22" s="7"/>
      <c r="C22" s="22">
        <v>50752.247499999998</v>
      </c>
      <c r="D22" s="22"/>
      <c r="E22" s="15">
        <f>(C22-C$7)/C$8</f>
        <v>8520.5708103939178</v>
      </c>
      <c r="F22">
        <f>ROUND(2*E22,0)/2</f>
        <v>8520.5</v>
      </c>
      <c r="G22">
        <f>+C22-(C$7+F22*C$8)</f>
        <v>0.20049861857842188</v>
      </c>
      <c r="I22">
        <f>+G22</f>
        <v>0.20049861857842188</v>
      </c>
      <c r="O22">
        <f ca="1">+C$11+C$12*$F22</f>
        <v>0.18697412810301639</v>
      </c>
      <c r="Q22" s="1">
        <f>+C22-15018.5</f>
        <v>35733.747499999998</v>
      </c>
      <c r="R22">
        <f ca="1">+(O22-G22)^2</f>
        <v>1.8291184261933388E-4</v>
      </c>
    </row>
    <row r="23" spans="1:21" x14ac:dyDescent="0.2">
      <c r="A23" s="42" t="s">
        <v>53</v>
      </c>
      <c r="B23" s="43" t="s">
        <v>54</v>
      </c>
      <c r="C23" s="42">
        <v>53735.350400000003</v>
      </c>
      <c r="D23" s="42" t="s">
        <v>55</v>
      </c>
      <c r="E23" s="15">
        <f>(C23-C$7)/C$8</f>
        <v>9574.117677436665</v>
      </c>
      <c r="F23">
        <f>ROUND(2*E23,0)/2</f>
        <v>9574</v>
      </c>
      <c r="I23" s="27">
        <v>0.33320198043657001</v>
      </c>
      <c r="O23">
        <f ca="1">+C$11+C$12*$F23</f>
        <v>0.20989049678262925</v>
      </c>
      <c r="Q23" s="1">
        <f>+C23-15018.5</f>
        <v>38716.850400000003</v>
      </c>
      <c r="R23">
        <f ca="1">+(O23-G23)^2</f>
        <v>4.4054020639658902E-2</v>
      </c>
    </row>
    <row r="24" spans="1:21" x14ac:dyDescent="0.2">
      <c r="A24" s="10" t="s">
        <v>48</v>
      </c>
      <c r="B24" s="8"/>
      <c r="C24" s="44">
        <v>54060.838553414018</v>
      </c>
      <c r="D24" s="44">
        <v>2.0000000000000001E-4</v>
      </c>
      <c r="E24" s="15">
        <f>(C24-C$7)/C$8</f>
        <v>9689.0708103939178</v>
      </c>
      <c r="F24">
        <f>ROUND(2*E24,0)/2</f>
        <v>9689</v>
      </c>
      <c r="G24">
        <f>+C24-(C$7+F24*C$8)</f>
        <v>0.20049861857114593</v>
      </c>
      <c r="J24">
        <f>+G24</f>
        <v>0.20049861857114593</v>
      </c>
      <c r="O24">
        <f ca="1">+C$11+C$12*$F24</f>
        <v>0.21239204628253952</v>
      </c>
      <c r="Q24" s="1">
        <f>+C24-15018.5</f>
        <v>39042.338553414018</v>
      </c>
      <c r="R24">
        <f ca="1">+(O24-G24)^2</f>
        <v>1.4145362272614508E-4</v>
      </c>
    </row>
    <row r="25" spans="1:21" x14ac:dyDescent="0.2">
      <c r="A25" s="38" t="s">
        <v>51</v>
      </c>
      <c r="B25" s="2" t="s">
        <v>52</v>
      </c>
      <c r="C25" s="39">
        <v>54762.734400000001</v>
      </c>
      <c r="D25" s="39">
        <v>1E-3</v>
      </c>
      <c r="E25" s="15">
        <f>(C25-C$7)/C$8</f>
        <v>9936.9604055402924</v>
      </c>
      <c r="F25">
        <f>ROUND(2*E25,0)/2</f>
        <v>9937</v>
      </c>
      <c r="I25" s="27">
        <v>-0.11211114689649548</v>
      </c>
      <c r="O25">
        <f ca="1">+C$11+C$12*$F25</f>
        <v>0.21778669216060689</v>
      </c>
      <c r="Q25" s="1">
        <f>+C25-15018.5</f>
        <v>39744.234400000001</v>
      </c>
      <c r="R25">
        <f ca="1">+(O25-G25)^2</f>
        <v>4.7431043282258951E-2</v>
      </c>
    </row>
    <row r="26" spans="1:21" x14ac:dyDescent="0.2">
      <c r="A26" s="40"/>
      <c r="B26" s="41"/>
      <c r="C26" s="40"/>
      <c r="D26" s="40"/>
      <c r="Q26" s="1"/>
    </row>
    <row r="27" spans="1:21" x14ac:dyDescent="0.2">
      <c r="A27" s="40"/>
      <c r="B27" s="41"/>
      <c r="C27" s="40"/>
      <c r="D27" s="40"/>
      <c r="Q27" s="1"/>
    </row>
    <row r="28" spans="1:21" x14ac:dyDescent="0.2">
      <c r="D28" s="2"/>
      <c r="Q28" s="1"/>
    </row>
    <row r="29" spans="1:21" x14ac:dyDescent="0.2">
      <c r="D29" s="2"/>
      <c r="Q29" s="1"/>
    </row>
    <row r="30" spans="1:21" x14ac:dyDescent="0.2">
      <c r="D30" s="2"/>
      <c r="Q30" s="1"/>
    </row>
    <row r="31" spans="1:21" x14ac:dyDescent="0.2">
      <c r="D31" s="2"/>
      <c r="Q31" s="1"/>
    </row>
    <row r="32" spans="1:21" x14ac:dyDescent="0.2">
      <c r="D32" s="2"/>
      <c r="Q32" s="1"/>
    </row>
    <row r="33" spans="4:17" x14ac:dyDescent="0.2">
      <c r="D33" s="2"/>
      <c r="Q33" s="1"/>
    </row>
    <row r="34" spans="4:17" x14ac:dyDescent="0.2">
      <c r="D34" s="2"/>
    </row>
    <row r="35" spans="4:17" x14ac:dyDescent="0.2">
      <c r="D35" s="2"/>
    </row>
    <row r="36" spans="4:17" x14ac:dyDescent="0.2">
      <c r="D36" s="2"/>
    </row>
    <row r="37" spans="4:17" x14ac:dyDescent="0.2">
      <c r="D37" s="2"/>
    </row>
    <row r="38" spans="4:17" x14ac:dyDescent="0.2">
      <c r="D38" s="2"/>
    </row>
    <row r="39" spans="4:17" x14ac:dyDescent="0.2">
      <c r="D39" s="2"/>
    </row>
    <row r="40" spans="4:17" x14ac:dyDescent="0.2">
      <c r="D40" s="2"/>
    </row>
    <row r="41" spans="4:17" x14ac:dyDescent="0.2">
      <c r="D41" s="2"/>
    </row>
    <row r="42" spans="4:17" x14ac:dyDescent="0.2">
      <c r="D42" s="2"/>
    </row>
    <row r="43" spans="4:17" x14ac:dyDescent="0.2">
      <c r="D43" s="2"/>
    </row>
    <row r="44" spans="4:17" x14ac:dyDescent="0.2">
      <c r="D44" s="2"/>
    </row>
    <row r="45" spans="4:17" x14ac:dyDescent="0.2">
      <c r="D45" s="2"/>
    </row>
    <row r="46" spans="4:17" x14ac:dyDescent="0.2">
      <c r="D46" s="2"/>
    </row>
    <row r="47" spans="4:17" x14ac:dyDescent="0.2">
      <c r="D47" s="2"/>
    </row>
    <row r="48" spans="4:17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Active 2</vt:lpstr>
      <vt:lpstr>BAV</vt:lpstr>
      <vt:lpstr>A (old)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2024-08-19T05:09:45Z</dcterms:modified>
</cp:coreProperties>
</file>