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DDAD77-3450-4310-9630-A410AAB9FFE4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E27" i="1"/>
  <c r="F27" i="1"/>
  <c r="E35" i="1"/>
  <c r="F35" i="1"/>
  <c r="E43" i="1"/>
  <c r="F43" i="1"/>
  <c r="E56" i="1"/>
  <c r="F56" i="1"/>
  <c r="D9" i="1"/>
  <c r="C9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0" i="1"/>
  <c r="Q51" i="1"/>
  <c r="Q55" i="1"/>
  <c r="Q56" i="1"/>
  <c r="Q60" i="1"/>
  <c r="G19" i="2"/>
  <c r="C19" i="2"/>
  <c r="G50" i="2"/>
  <c r="C50" i="2"/>
  <c r="G18" i="2"/>
  <c r="C18" i="2"/>
  <c r="G17" i="2"/>
  <c r="C17" i="2"/>
  <c r="G16" i="2"/>
  <c r="C16" i="2"/>
  <c r="G49" i="2"/>
  <c r="C49" i="2"/>
  <c r="E49" i="2"/>
  <c r="G48" i="2"/>
  <c r="C48" i="2"/>
  <c r="G15" i="2"/>
  <c r="C15" i="2"/>
  <c r="G14" i="2"/>
  <c r="C14" i="2"/>
  <c r="G13" i="2"/>
  <c r="C13" i="2"/>
  <c r="G47" i="2"/>
  <c r="C47" i="2"/>
  <c r="G46" i="2"/>
  <c r="C46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E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E20" i="2"/>
  <c r="H19" i="2"/>
  <c r="D19" i="2"/>
  <c r="B19" i="2"/>
  <c r="A19" i="2"/>
  <c r="H50" i="2"/>
  <c r="B50" i="2"/>
  <c r="D50" i="2"/>
  <c r="A50" i="2"/>
  <c r="H18" i="2"/>
  <c r="D18" i="2"/>
  <c r="B18" i="2"/>
  <c r="A18" i="2"/>
  <c r="H17" i="2"/>
  <c r="B17" i="2"/>
  <c r="D17" i="2"/>
  <c r="A17" i="2"/>
  <c r="H16" i="2"/>
  <c r="D16" i="2"/>
  <c r="B16" i="2"/>
  <c r="A16" i="2"/>
  <c r="H49" i="2"/>
  <c r="B49" i="2"/>
  <c r="D49" i="2"/>
  <c r="A49" i="2"/>
  <c r="H48" i="2"/>
  <c r="D48" i="2"/>
  <c r="B48" i="2"/>
  <c r="A48" i="2"/>
  <c r="H15" i="2"/>
  <c r="B15" i="2"/>
  <c r="D15" i="2"/>
  <c r="A15" i="2"/>
  <c r="H14" i="2"/>
  <c r="D14" i="2"/>
  <c r="B14" i="2"/>
  <c r="A14" i="2"/>
  <c r="H13" i="2"/>
  <c r="B13" i="2"/>
  <c r="D13" i="2"/>
  <c r="A13" i="2"/>
  <c r="H47" i="2"/>
  <c r="D47" i="2"/>
  <c r="B47" i="2"/>
  <c r="A47" i="2"/>
  <c r="H46" i="2"/>
  <c r="B46" i="2"/>
  <c r="D46" i="2"/>
  <c r="A46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Q61" i="1"/>
  <c r="C7" i="1"/>
  <c r="C8" i="1"/>
  <c r="E37" i="1"/>
  <c r="F37" i="1"/>
  <c r="G37" i="1"/>
  <c r="H37" i="1"/>
  <c r="Q58" i="1"/>
  <c r="Q59" i="1"/>
  <c r="C22" i="1"/>
  <c r="E22" i="1"/>
  <c r="F22" i="1"/>
  <c r="G22" i="1"/>
  <c r="H22" i="1"/>
  <c r="F16" i="1"/>
  <c r="F17" i="1" s="1"/>
  <c r="Q54" i="1"/>
  <c r="Q57" i="1"/>
  <c r="Q48" i="1"/>
  <c r="Q49" i="1"/>
  <c r="Q52" i="1"/>
  <c r="Q53" i="1"/>
  <c r="Q22" i="1"/>
  <c r="E45" i="2"/>
  <c r="E16" i="2"/>
  <c r="E37" i="2"/>
  <c r="E42" i="2"/>
  <c r="E18" i="2"/>
  <c r="E52" i="1"/>
  <c r="F52" i="1"/>
  <c r="E50" i="1"/>
  <c r="F50" i="1"/>
  <c r="G50" i="1"/>
  <c r="K50" i="1"/>
  <c r="G42" i="1"/>
  <c r="H42" i="1"/>
  <c r="E40" i="1"/>
  <c r="F40" i="1"/>
  <c r="E32" i="1"/>
  <c r="F32" i="1"/>
  <c r="E24" i="1"/>
  <c r="F24" i="1"/>
  <c r="G24" i="1"/>
  <c r="H24" i="1"/>
  <c r="E57" i="1"/>
  <c r="F57" i="1"/>
  <c r="G57" i="1"/>
  <c r="K57" i="1"/>
  <c r="E61" i="1"/>
  <c r="F61" i="1"/>
  <c r="G61" i="1"/>
  <c r="J61" i="1"/>
  <c r="E32" i="2"/>
  <c r="E29" i="1"/>
  <c r="F29" i="1"/>
  <c r="G29" i="1"/>
  <c r="H29" i="1"/>
  <c r="E27" i="2"/>
  <c r="E35" i="2"/>
  <c r="E14" i="2"/>
  <c r="E58" i="1"/>
  <c r="F58" i="1"/>
  <c r="G58" i="1"/>
  <c r="J58" i="1"/>
  <c r="G60" i="1"/>
  <c r="K60" i="1"/>
  <c r="E55" i="1"/>
  <c r="F55" i="1"/>
  <c r="G55" i="1"/>
  <c r="E42" i="1"/>
  <c r="F42" i="1"/>
  <c r="U36" i="1"/>
  <c r="E34" i="1"/>
  <c r="F34" i="1"/>
  <c r="G34" i="1"/>
  <c r="H34" i="1"/>
  <c r="E26" i="1"/>
  <c r="F26" i="1"/>
  <c r="G26" i="1"/>
  <c r="H26" i="1"/>
  <c r="E49" i="1"/>
  <c r="F49" i="1"/>
  <c r="G49" i="1"/>
  <c r="K49" i="1"/>
  <c r="E47" i="1"/>
  <c r="F47" i="1"/>
  <c r="G47" i="1"/>
  <c r="K47" i="1"/>
  <c r="E39" i="1"/>
  <c r="F39" i="1"/>
  <c r="G39" i="1"/>
  <c r="H39" i="1"/>
  <c r="E31" i="1"/>
  <c r="F31" i="1"/>
  <c r="G31" i="1"/>
  <c r="H31" i="1"/>
  <c r="E23" i="1"/>
  <c r="F23" i="1"/>
  <c r="G23" i="1"/>
  <c r="H23" i="1"/>
  <c r="E45" i="1"/>
  <c r="F45" i="1"/>
  <c r="G45" i="1"/>
  <c r="H45" i="1"/>
  <c r="C17" i="1"/>
  <c r="E60" i="1"/>
  <c r="F60" i="1"/>
  <c r="E44" i="1"/>
  <c r="F44" i="1"/>
  <c r="G44" i="1"/>
  <c r="H44" i="1"/>
  <c r="E36" i="1"/>
  <c r="F36" i="1"/>
  <c r="E28" i="1"/>
  <c r="F28" i="1"/>
  <c r="G28" i="1"/>
  <c r="H28" i="1"/>
  <c r="E54" i="1"/>
  <c r="F54" i="1"/>
  <c r="G54" i="1"/>
  <c r="J54" i="1"/>
  <c r="G56" i="1"/>
  <c r="K56" i="1"/>
  <c r="E51" i="1"/>
  <c r="F51" i="1"/>
  <c r="G51" i="1"/>
  <c r="K51" i="1"/>
  <c r="G43" i="1"/>
  <c r="H43" i="1"/>
  <c r="E41" i="1"/>
  <c r="F41" i="1"/>
  <c r="G41" i="1"/>
  <c r="H41" i="1"/>
  <c r="G35" i="1"/>
  <c r="H35" i="1"/>
  <c r="E33" i="1"/>
  <c r="F33" i="1"/>
  <c r="G33" i="1"/>
  <c r="H33" i="1"/>
  <c r="G27" i="1"/>
  <c r="H27" i="1"/>
  <c r="E25" i="1"/>
  <c r="F25" i="1"/>
  <c r="G25" i="1"/>
  <c r="H25" i="1"/>
  <c r="G21" i="1"/>
  <c r="H21" i="1"/>
  <c r="E59" i="1"/>
  <c r="F59" i="1"/>
  <c r="G59" i="1"/>
  <c r="K59" i="1"/>
  <c r="E53" i="1"/>
  <c r="F53" i="1"/>
  <c r="G53" i="1"/>
  <c r="K53" i="1"/>
  <c r="E40" i="2"/>
  <c r="G52" i="1"/>
  <c r="K52" i="1"/>
  <c r="E48" i="1"/>
  <c r="F48" i="1"/>
  <c r="G48" i="1"/>
  <c r="J48" i="1"/>
  <c r="E46" i="1"/>
  <c r="F46" i="1"/>
  <c r="G46" i="1"/>
  <c r="H46" i="1"/>
  <c r="G40" i="1"/>
  <c r="H40" i="1"/>
  <c r="E38" i="1"/>
  <c r="F38" i="1"/>
  <c r="G38" i="1"/>
  <c r="H38" i="1"/>
  <c r="G32" i="1"/>
  <c r="H32" i="1"/>
  <c r="E30" i="1"/>
  <c r="F30" i="1"/>
  <c r="G30" i="1"/>
  <c r="H30" i="1"/>
  <c r="K55" i="1"/>
  <c r="E15" i="2"/>
  <c r="E29" i="2"/>
  <c r="E11" i="2"/>
  <c r="E24" i="2"/>
  <c r="E43" i="2"/>
  <c r="E23" i="2"/>
  <c r="E36" i="2"/>
  <c r="E30" i="2"/>
  <c r="E17" i="2"/>
  <c r="E12" i="2"/>
  <c r="E26" i="2"/>
  <c r="E47" i="2"/>
  <c r="E44" i="2"/>
  <c r="E50" i="2"/>
  <c r="E22" i="2"/>
  <c r="E21" i="2"/>
  <c r="E34" i="2"/>
  <c r="E28" i="2"/>
  <c r="E31" i="2"/>
  <c r="E39" i="2"/>
  <c r="E19" i="2"/>
  <c r="E46" i="2"/>
  <c r="E38" i="2"/>
  <c r="E13" i="2"/>
  <c r="E48" i="2"/>
  <c r="C12" i="1"/>
  <c r="C11" i="1"/>
  <c r="O49" i="1" l="1"/>
  <c r="O56" i="1"/>
  <c r="C15" i="1"/>
  <c r="O52" i="1"/>
  <c r="O50" i="1"/>
  <c r="O46" i="1"/>
  <c r="O51" i="1"/>
  <c r="O61" i="1"/>
  <c r="O48" i="1"/>
  <c r="O55" i="1"/>
  <c r="O58" i="1"/>
  <c r="O60" i="1"/>
  <c r="O53" i="1"/>
  <c r="O54" i="1"/>
  <c r="O57" i="1"/>
  <c r="O47" i="1"/>
  <c r="O5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<sst xmlns="http://schemas.openxmlformats.org/spreadsheetml/2006/main" count="498" uniqueCount="215">
  <si>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</si>
  <si>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</si>
  <si>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</si>
  <si>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</si>
  <si>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</si>
  <si>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</si>
  <si>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</si>
  <si>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</si>
  <si>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</si>
  <si>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</si>
  <si>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</si>
  <si>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</si>
  <si>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</si>
  <si>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</si>
  <si>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</si>
  <si>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</si>
  <si>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</si>
  <si>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</si>
  <si>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</si>
  <si>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</si>
  <si>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</si>
  <si>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</si>
  <si>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</si>
  <si>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</si>
  <si>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</si>
  <si>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</si>
  <si>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</si>
  <si>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</si>
  <si>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4711</t>
  </si>
  <si>
    <t>IBVS 5224</t>
  </si>
  <si>
    <t>IBVS 5493</t>
  </si>
  <si>
    <t>IBVS 5543</t>
  </si>
  <si>
    <t>I</t>
  </si>
  <si>
    <t>EA/DM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</si>
  <si>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</si>
  <si>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</si>
  <si>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</si>
  <si>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</si>
  <si>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</si>
  <si>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</si>
  <si>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</si>
  <si>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5643</t>
  </si>
  <si>
    <t>IBVS 5871</t>
  </si>
  <si>
    <t>Add cycle</t>
  </si>
  <si>
    <t>Old Cycle</t>
  </si>
  <si>
    <t>IBVS 5959</t>
  </si>
  <si>
    <t>IBVS 6011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</si>
  <si>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</si>
  <si>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</si>
  <si>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</si>
  <si>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</si>
  <si>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</si>
  <si>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</si>
  <si>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</si>
  <si>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</si>
  <si>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</si>
  <si>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</si>
  <si>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</si>
  <si>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</si>
  <si>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2428523.693 </t>
  </si>
  <si>
    <t> 21.12.1936 04:37 </t>
  </si>
  <si>
    <t> -0.020 </t>
  </si>
  <si>
    <t>P </t>
  </si>
  <si>
    <t> H.Gessner </t>
  </si>
  <si>
    <t>IBVS 360 </t>
  </si>
  <si>
    <t>2428951.514 </t>
  </si>
  <si>
    <t> 22.02.1938 00:20 </t>
  </si>
  <si>
    <t> 0.018 </t>
  </si>
  <si>
    <t>2429231.369 </t>
  </si>
  <si>
    <t> 28.11.1938 20:51 </t>
  </si>
  <si>
    <t> 0.044 </t>
  </si>
  <si>
    <t>2429374.465 </t>
  </si>
  <si>
    <t> 20.04.1939 23:09 </t>
  </si>
  <si>
    <t> 0.010 </t>
  </si>
  <si>
    <t>2430704.410 </t>
  </si>
  <si>
    <t> 10.12.1942 21:50 </t>
  </si>
  <si>
    <t> -0.033 </t>
  </si>
  <si>
    <t>2430791.319 </t>
  </si>
  <si>
    <t> 07.03.1943 19:39 </t>
  </si>
  <si>
    <t> 0.033 </t>
  </si>
  <si>
    <t>2434797.331 </t>
  </si>
  <si>
    <t> 23.02.1954 19:56 </t>
  </si>
  <si>
    <t> -0.001 </t>
  </si>
  <si>
    <t>2435371.461 </t>
  </si>
  <si>
    <t> 20.09.1955 23:03 </t>
  </si>
  <si>
    <t> -0.002 </t>
  </si>
  <si>
    <t>2435400.421 </t>
  </si>
  <si>
    <t> 19.10.1955 22:06 </t>
  </si>
  <si>
    <t> 0.011 </t>
  </si>
  <si>
    <t>2436656.414 </t>
  </si>
  <si>
    <t> 28.03.1959 21:56 </t>
  </si>
  <si>
    <t> -0.007 </t>
  </si>
  <si>
    <t>2436783.553 </t>
  </si>
  <si>
    <t> 03.08.1959 01:16 </t>
  </si>
  <si>
    <t> 0.084 </t>
  </si>
  <si>
    <t> R.Weber </t>
  </si>
  <si>
    <t>2438044.284 </t>
  </si>
  <si>
    <t> 14.01.1963 18:48 </t>
  </si>
  <si>
    <t>2438322.534 </t>
  </si>
  <si>
    <t> 20.10.1963 00:48 </t>
  </si>
  <si>
    <t>2438343.432 </t>
  </si>
  <si>
    <t> 09.11.1963 22:22 </t>
  </si>
  <si>
    <t> 0.001 </t>
  </si>
  <si>
    <t>2438936.455 </t>
  </si>
  <si>
    <t> 24.06.1965 22:55 </t>
  </si>
  <si>
    <t> -0.405 </t>
  </si>
  <si>
    <t>2439123.430 </t>
  </si>
  <si>
    <t> 28.12.1965 22:19 </t>
  </si>
  <si>
    <t>2439136.265 </t>
  </si>
  <si>
    <t> 10.01.1966 18:21 </t>
  </si>
  <si>
    <t> -0.013 </t>
  </si>
  <si>
    <t>2439210.324 </t>
  </si>
  <si>
    <t> 25.03.1966 19:46 </t>
  </si>
  <si>
    <t> 0.069 </t>
  </si>
  <si>
    <t>2439353.482 </t>
  </si>
  <si>
    <t> 15.08.1966 23:34 </t>
  </si>
  <si>
    <t> 0.096 </t>
  </si>
  <si>
    <t>2439361.458 </t>
  </si>
  <si>
    <t> 23.08.1966 22:59 </t>
  </si>
  <si>
    <t> 0.031 </t>
  </si>
  <si>
    <t>2439414.459 </t>
  </si>
  <si>
    <t> 15.10.1966 23:00 </t>
  </si>
  <si>
    <t> -0.039 </t>
  </si>
  <si>
    <t>2439443.439 </t>
  </si>
  <si>
    <t> 13.11.1966 22:32 </t>
  </si>
  <si>
    <t> -0.006 </t>
  </si>
  <si>
    <t>2439477.233 </t>
  </si>
  <si>
    <t> 17.12.1966 17:35 </t>
  </si>
  <si>
    <t> 0.015 </t>
  </si>
  <si>
    <t>2439530.335 </t>
  </si>
  <si>
    <t> 08.02.1967 20:02 </t>
  </si>
  <si>
    <t> 0.046 </t>
  </si>
  <si>
    <t>2439792.461 </t>
  </si>
  <si>
    <t> 28.10.1967 23:03 </t>
  </si>
  <si>
    <t> 0.035 </t>
  </si>
  <si>
    <t>2449237.4631 </t>
  </si>
  <si>
    <t> 06.09.1993 23:06 </t>
  </si>
  <si>
    <t> 0.0311 </t>
  </si>
  <si>
    <t>E </t>
  </si>
  <si>
    <t>o</t>
  </si>
  <si>
    <t> W.Moschner </t>
  </si>
  <si>
    <t>BAVM 68 </t>
  </si>
  <si>
    <t>2450678.4248 </t>
  </si>
  <si>
    <t> 17.08.1997 22:11 </t>
  </si>
  <si>
    <t> 0.0384 </t>
  </si>
  <si>
    <t>BAVM 117 </t>
  </si>
  <si>
    <t>2452133.8565 </t>
  </si>
  <si>
    <t> 12.08.2001 08:33 </t>
  </si>
  <si>
    <t> 0.0419 </t>
  </si>
  <si>
    <t>?</t>
  </si>
  <si>
    <t> R.Nelson </t>
  </si>
  <si>
    <t>IBVS 5224 </t>
  </si>
  <si>
    <t>2452217.4852 </t>
  </si>
  <si>
    <t> 03.11.2001 23:38 </t>
  </si>
  <si>
    <t> 0.0437 </t>
  </si>
  <si>
    <t> R.Diethelm </t>
  </si>
  <si>
    <t> BBS 127 </t>
  </si>
  <si>
    <t>2452296.2876 </t>
  </si>
  <si>
    <t> 21.01.2002 18:54 </t>
  </si>
  <si>
    <t> 0.0439 </t>
  </si>
  <si>
    <t>2452963.7008 </t>
  </si>
  <si>
    <t> 20.11.2003 04:49 </t>
  </si>
  <si>
    <t> 0.0508 </t>
  </si>
  <si>
    <t>IBVS 5493 </t>
  </si>
  <si>
    <t>2452981.3892 </t>
  </si>
  <si>
    <t> 07.12.2003 21:20 </t>
  </si>
  <si>
    <t> 0.0489 </t>
  </si>
  <si>
    <t> E.Blättler </t>
  </si>
  <si>
    <t> BBS 130 </t>
  </si>
  <si>
    <t>2452981.3901 </t>
  </si>
  <si>
    <t> 07.12.2003 21:21 </t>
  </si>
  <si>
    <t> 0.0498 </t>
  </si>
  <si>
    <t>-I</t>
  </si>
  <si>
    <t> K. &amp; M. Rätz </t>
  </si>
  <si>
    <t>BAVM 172 </t>
  </si>
  <si>
    <t>2454319.4450 </t>
  </si>
  <si>
    <t> 06.08.2007 22:40 </t>
  </si>
  <si>
    <t>16040</t>
  </si>
  <si>
    <t> 0.0757 </t>
  </si>
  <si>
    <t>C </t>
  </si>
  <si>
    <t> F.Agerer </t>
  </si>
  <si>
    <t>BAVM 193 </t>
  </si>
  <si>
    <t>2454388.6029 </t>
  </si>
  <si>
    <t> 15.10.2007 02:28 </t>
  </si>
  <si>
    <t>16083</t>
  </si>
  <si>
    <t> 0.0806 </t>
  </si>
  <si>
    <t>2454761.7116 </t>
  </si>
  <si>
    <t> 22.10.2008 05:04 </t>
  </si>
  <si>
    <t>16315</t>
  </si>
  <si>
    <t> 0.0851 </t>
  </si>
  <si>
    <t>IBVS 5871 </t>
  </si>
  <si>
    <t>2455374.4561 </t>
  </si>
  <si>
    <t> 26.06.2010 22:56 </t>
  </si>
  <si>
    <t>16696</t>
  </si>
  <si>
    <t> 0.1023 </t>
  </si>
  <si>
    <t>BAVM 214 </t>
  </si>
  <si>
    <t>2455840.8470 </t>
  </si>
  <si>
    <t> 06.10.2011 08:19 </t>
  </si>
  <si>
    <t>16986</t>
  </si>
  <si>
    <t> 0.1129 </t>
  </si>
  <si>
    <t>IBVS 6011 </t>
  </si>
  <si>
    <t>2455858.5333 </t>
  </si>
  <si>
    <t> 24.10.2011 00:47 </t>
  </si>
  <si>
    <t>16997</t>
  </si>
  <si>
    <t> 0.1089 </t>
  </si>
  <si>
    <t>BAVM 225 </t>
  </si>
  <si>
    <t>2456955.3523 </t>
  </si>
  <si>
    <t> 24.10.2014 20:27 </t>
  </si>
  <si>
    <t>17679</t>
  </si>
  <si>
    <t> 0.1301 </t>
  </si>
  <si>
    <t>BAVM 239 </t>
  </si>
  <si>
    <t>IBVS 0360 </t>
  </si>
  <si>
    <t>BAVM 0225 </t>
  </si>
  <si>
    <t>BAD?</t>
  </si>
  <si>
    <t>V0387 Cas / GSC 03680-01475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</si>
</sst>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4" fillId="0" borderId="1" xfId="0" applyFont="1" applyBorder="1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8" fillId="0" borderId="0" xfId="7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0" xfId="0" quotePrefix="1">
      <alignment vertical="top"/>
    </xf>
    <xf numFmtId="0" fontId="4" fillId="2" borderId="14" xfId="0" applyFont="1" applyFill="1" applyBorder="1" applyAlignment="1">
      <alignment horizontal="left" vertical="top" wrapText="1" indent="1"/>
    </xf>
    <xf numFmtId="0" fontId="4" fillId="2" borderId="14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right" vertical="top" wrapText="1"/>
    </xf>
    <xf numFmtId="0" fontId="18" fillId="2" borderId="14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20" fillId="0" borderId="3" xfId="0" applyFont="1" applyBorder="1" applyAlignment="1">
      <alignment horizontal="center"/>
    </xf>
    <xf numFmtId="0" fontId="22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V0387 Cas - O-C Diagr.</a:t>
            </a:r>
          </a:p>
        </c:rich>
      </c:tx>
      <c:layout>
        <c:manualLayout>
          <c:xMode val="edge"/>
          <c:yMode val="edge"/>
          <c:x val="0.35671438085164725"/>
          <c:y val="3.3950538791346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2106037302341"/>
          <c:y val="0.14814859468012961"/>
          <c:w val="0.8007068464555198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A!$H$21:$H$991</c:f>
              <c:numCache>
                <c:formatCode>General</c:formatCode>
                <c:ptCount val="971"/>
                <c:pt idx="0">
                  <c:v>-2.0000000000436557E-2</c:v>
                </c:pt>
                <c:pt idx="1">
                  <c:v>0</c:v>
                </c:pt>
                <c:pt idx="2">
                  <c:v>1.767199999812874E-2</c:v>
                </c:pt>
                <c:pt idx="3">
                  <c:v>4.4480000000476139E-2</c:v>
                </c:pt>
                <c:pt idx="4">
                  <c:v>9.9680000021180604E-3</c:v>
                </c:pt>
                <c:pt idx="5">
                  <c:v>-3.3048000001144828E-2</c:v>
                </c:pt>
                <c:pt idx="6">
                  <c:v>3.2719999999244465E-2</c:v>
                </c:pt>
                <c:pt idx="7">
                  <c:v>-1.4080000037210993E-3</c:v>
                </c:pt>
                <c:pt idx="8">
                  <c:v>-1.6639999957988039E-3</c:v>
                </c:pt>
                <c:pt idx="9">
                  <c:v>1.059200000599958E-2</c:v>
                </c:pt>
                <c:pt idx="10">
                  <c:v>-6.8559999999706633E-3</c:v>
                </c:pt>
                <c:pt idx="11">
                  <c:v>8.3711999999650288E-2</c:v>
                </c:pt>
                <c:pt idx="12">
                  <c:v>-2.0360000002256129E-2</c:v>
                </c:pt>
                <c:pt idx="13">
                  <c:v>9.6560000019962899E-3</c:v>
                </c:pt>
                <c:pt idx="14">
                  <c:v>9.5200000214390457E-4</c:v>
                </c:pt>
                <c:pt idx="16">
                  <c:v>1.8071999998937827E-2</c:v>
                </c:pt>
                <c:pt idx="17">
                  <c:v>-1.2591999999131076E-2</c:v>
                </c:pt>
                <c:pt idx="18">
                  <c:v>6.8839999999909196E-2</c:v>
                </c:pt>
                <c:pt idx="19">
                  <c:v>9.6327999999630265E-2</c:v>
                </c:pt>
                <c:pt idx="20">
                  <c:v>3.1287999998312443E-2</c:v>
                </c:pt>
                <c:pt idx="21">
                  <c:v>-3.8575999999011401E-2</c:v>
                </c:pt>
                <c:pt idx="22">
                  <c:v>-6.3200000004144385E-3</c:v>
                </c:pt>
                <c:pt idx="23">
                  <c:v>1.5311999995901715E-2</c:v>
                </c:pt>
                <c:pt idx="24">
                  <c:v>4.6448000000964385E-2</c:v>
                </c:pt>
                <c:pt idx="25">
                  <c:v>3.4544000001915265E-2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5-46EB-81A4-D273D7E4FA1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5-46EB-81A4-D273D7E4FA1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A!$J$21:$J$991</c:f>
              <c:numCache>
                <c:formatCode>General</c:formatCode>
                <c:ptCount val="971"/>
                <c:pt idx="27">
                  <c:v>3.8391999994928483E-2</c:v>
                </c:pt>
                <c:pt idx="33">
                  <c:v>4.9835999998322222E-2</c:v>
                </c:pt>
                <c:pt idx="37">
                  <c:v>0.10233200000220677</c:v>
                </c:pt>
                <c:pt idx="40">
                  <c:v>0.13006799999857321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F5-46EB-81A4-D273D7E4FA1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A!$K$21:$K$991</c:f>
              <c:numCache>
                <c:formatCode>General</c:formatCode>
                <c:ptCount val="971"/>
                <c:pt idx="26">
                  <c:v>3.1060000001161825E-2</c:v>
                </c:pt>
                <c:pt idx="28">
                  <c:v>4.185200000210898E-2</c:v>
                </c:pt>
                <c:pt idx="29">
                  <c:v>4.3735999999626074E-2</c:v>
                </c:pt>
                <c:pt idx="30">
                  <c:v>4.3943999997281935E-2</c:v>
                </c:pt>
                <c:pt idx="31">
                  <c:v>5.0823999998101499E-2</c:v>
                </c:pt>
                <c:pt idx="32">
                  <c:v>4.8935999999230262E-2</c:v>
                </c:pt>
                <c:pt idx="34">
                  <c:v>7.5680000001739245E-2</c:v>
                </c:pt>
                <c:pt idx="35">
                  <c:v>8.0635999998776242E-2</c:v>
                </c:pt>
                <c:pt idx="36">
                  <c:v>8.5079999997105915E-2</c:v>
                </c:pt>
                <c:pt idx="38">
                  <c:v>0.11291200000414392</c:v>
                </c:pt>
                <c:pt idx="39">
                  <c:v>0.10892400000011548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F5-46EB-81A4-D273D7E4FA1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F5-46EB-81A4-D273D7E4FA1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F5-46EB-81A4-D273D7E4FA1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F5-46EB-81A4-D273D7E4FA1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A!$O$21:$O$991</c:f>
              <c:numCache>
                <c:formatCode>General</c:formatCode>
                <c:ptCount val="971"/>
                <c:pt idx="25">
                  <c:v>-0.22199892426547715</c:v>
                </c:pt>
                <c:pt idx="26">
                  <c:v>-2.6978561570543735E-2</c:v>
                </c:pt>
                <c:pt idx="27">
                  <c:v>2.7742470408406161E-3</c:v>
                </c:pt>
                <c:pt idx="28">
                  <c:v>3.2825911988723255E-2</c:v>
                </c:pt>
                <c:pt idx="29">
                  <c:v>3.4552637488491078E-2</c:v>
                </c:pt>
                <c:pt idx="30">
                  <c:v>3.6179744209426157E-2</c:v>
                </c:pt>
                <c:pt idx="31">
                  <c:v>4.9960341947958009E-2</c:v>
                </c:pt>
                <c:pt idx="32">
                  <c:v>5.0325610803678089E-2</c:v>
                </c:pt>
                <c:pt idx="33">
                  <c:v>5.0325610803678089E-2</c:v>
                </c:pt>
                <c:pt idx="34">
                  <c:v>7.7953218799963586E-2</c:v>
                </c:pt>
                <c:pt idx="35">
                  <c:v>7.9381087963233121E-2</c:v>
                </c:pt>
                <c:pt idx="36">
                  <c:v>8.7084940192966587E-2</c:v>
                </c:pt>
                <c:pt idx="37">
                  <c:v>9.9736525104727136E-2</c:v>
                </c:pt>
                <c:pt idx="38">
                  <c:v>0.10936634039189391</c:v>
                </c:pt>
                <c:pt idx="39">
                  <c:v>0.1097316092476141</c:v>
                </c:pt>
                <c:pt idx="40">
                  <c:v>0.13237827830226151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F5-46EB-81A4-D273D7E4FA1D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A!$U$21:$U$300</c:f>
              <c:numCache>
                <c:formatCode>General</c:formatCode>
                <c:ptCount val="280"/>
                <c:pt idx="15">
                  <c:v>0.39930400000594091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F5-46EB-81A4-D273D7E4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42184"/>
        <c:axId val="1"/>
      </c:scatterChart>
      <c:valAx>
        <c:axId val="610542184"/>
        <c:scaling>
          <c:orientation val="minMax"/>
          <c:max val="18000"/>
          <c:min val="14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67811893884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4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54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47980576502"/>
          <c:y val="0.91975600272188196"/>
          <c:w val="0.8483259962875011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V0387 Cas - O-C Diagr.</a:t>
            </a:r>
          </a:p>
        </c:rich>
      </c:tx>
      <c:layout>
        <c:manualLayout>
          <c:xMode val="edge"/>
          <c:yMode val="edge"/>
          <c:x val="0.3521130457284388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4519150011648"/>
          <c:y val="0.14769252958613219"/>
          <c:w val="0.8045781564444154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A!$H$21:$H$991</c:f>
              <c:numCache>
                <c:formatCode>General</c:formatCode>
                <c:ptCount val="971"/>
                <c:pt idx="0">
                  <c:v>-2.0000000000436557E-2</c:v>
                </c:pt>
                <c:pt idx="1">
                  <c:v>0</c:v>
                </c:pt>
                <c:pt idx="2">
                  <c:v>1.767199999812874E-2</c:v>
                </c:pt>
                <c:pt idx="3">
                  <c:v>4.4480000000476139E-2</c:v>
                </c:pt>
                <c:pt idx="4">
                  <c:v>9.9680000021180604E-3</c:v>
                </c:pt>
                <c:pt idx="5">
                  <c:v>-3.3048000001144828E-2</c:v>
                </c:pt>
                <c:pt idx="6">
                  <c:v>3.2719999999244465E-2</c:v>
                </c:pt>
                <c:pt idx="7">
                  <c:v>-1.4080000037210993E-3</c:v>
                </c:pt>
                <c:pt idx="8">
                  <c:v>-1.6639999957988039E-3</c:v>
                </c:pt>
                <c:pt idx="9">
                  <c:v>1.059200000599958E-2</c:v>
                </c:pt>
                <c:pt idx="10">
                  <c:v>-6.8559999999706633E-3</c:v>
                </c:pt>
                <c:pt idx="11">
                  <c:v>8.3711999999650288E-2</c:v>
                </c:pt>
                <c:pt idx="12">
                  <c:v>-2.0360000002256129E-2</c:v>
                </c:pt>
                <c:pt idx="13">
                  <c:v>9.6560000019962899E-3</c:v>
                </c:pt>
                <c:pt idx="14">
                  <c:v>9.5200000214390457E-4</c:v>
                </c:pt>
                <c:pt idx="16">
                  <c:v>1.8071999998937827E-2</c:v>
                </c:pt>
                <c:pt idx="17">
                  <c:v>-1.2591999999131076E-2</c:v>
                </c:pt>
                <c:pt idx="18">
                  <c:v>6.8839999999909196E-2</c:v>
                </c:pt>
                <c:pt idx="19">
                  <c:v>9.6327999999630265E-2</c:v>
                </c:pt>
                <c:pt idx="20">
                  <c:v>3.1287999998312443E-2</c:v>
                </c:pt>
                <c:pt idx="21">
                  <c:v>-3.8575999999011401E-2</c:v>
                </c:pt>
                <c:pt idx="22">
                  <c:v>-6.3200000004144385E-3</c:v>
                </c:pt>
                <c:pt idx="23">
                  <c:v>1.5311999995901715E-2</c:v>
                </c:pt>
                <c:pt idx="24">
                  <c:v>4.6448000000964385E-2</c:v>
                </c:pt>
                <c:pt idx="25">
                  <c:v>3.4544000001915265E-2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95-452B-8837-E5A035B458A1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95-452B-8837-E5A035B458A1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A!$J$21:$J$991</c:f>
              <c:numCache>
                <c:formatCode>General</c:formatCode>
                <c:ptCount val="971"/>
                <c:pt idx="27">
                  <c:v>3.8391999994928483E-2</c:v>
                </c:pt>
                <c:pt idx="33">
                  <c:v>4.9835999998322222E-2</c:v>
                </c:pt>
                <c:pt idx="37">
                  <c:v>0.10233200000220677</c:v>
                </c:pt>
                <c:pt idx="40">
                  <c:v>0.13006799999857321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95-452B-8837-E5A035B458A1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A!$K$21:$K$991</c:f>
              <c:numCache>
                <c:formatCode>General</c:formatCode>
                <c:ptCount val="971"/>
                <c:pt idx="26">
                  <c:v>3.1060000001161825E-2</c:v>
                </c:pt>
                <c:pt idx="28">
                  <c:v>4.185200000210898E-2</c:v>
                </c:pt>
                <c:pt idx="29">
                  <c:v>4.3735999999626074E-2</c:v>
                </c:pt>
                <c:pt idx="30">
                  <c:v>4.3943999997281935E-2</c:v>
                </c:pt>
                <c:pt idx="31">
                  <c:v>5.0823999998101499E-2</c:v>
                </c:pt>
                <c:pt idx="32">
                  <c:v>4.8935999999230262E-2</c:v>
                </c:pt>
                <c:pt idx="34">
                  <c:v>7.5680000001739245E-2</c:v>
                </c:pt>
                <c:pt idx="35">
                  <c:v>8.0635999998776242E-2</c:v>
                </c:pt>
                <c:pt idx="36">
                  <c:v>8.5079999997105915E-2</c:v>
                </c:pt>
                <c:pt idx="38">
                  <c:v>0.11291200000414392</c:v>
                </c:pt>
                <c:pt idx="39">
                  <c:v>0.10892400000011548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95-452B-8837-E5A035B458A1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95-452B-8837-E5A035B458A1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95-452B-8837-E5A035B458A1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1E-3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1.2999999999999999E-3</c:v>
                  </c:pt>
                  <c:pt idx="33">
                    <c:v>1.1999999999999999E-3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8.0000000000000004E-4</c:v>
                  </c:pt>
                  <c:pt idx="37">
                    <c:v>3.5000000000000001E-3</c:v>
                  </c:pt>
                  <c:pt idx="38">
                    <c:v>1E-3</c:v>
                  </c:pt>
                  <c:pt idx="39">
                    <c:v>0</c:v>
                  </c:pt>
                  <c:pt idx="4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95-452B-8837-E5A035B458A1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A!$O$21:$O$991</c:f>
              <c:numCache>
                <c:formatCode>General</c:formatCode>
                <c:ptCount val="971"/>
                <c:pt idx="25">
                  <c:v>-0.22199892426547715</c:v>
                </c:pt>
                <c:pt idx="26">
                  <c:v>-2.6978561570543735E-2</c:v>
                </c:pt>
                <c:pt idx="27">
                  <c:v>2.7742470408406161E-3</c:v>
                </c:pt>
                <c:pt idx="28">
                  <c:v>3.2825911988723255E-2</c:v>
                </c:pt>
                <c:pt idx="29">
                  <c:v>3.4552637488491078E-2</c:v>
                </c:pt>
                <c:pt idx="30">
                  <c:v>3.6179744209426157E-2</c:v>
                </c:pt>
                <c:pt idx="31">
                  <c:v>4.9960341947958009E-2</c:v>
                </c:pt>
                <c:pt idx="32">
                  <c:v>5.0325610803678089E-2</c:v>
                </c:pt>
                <c:pt idx="33">
                  <c:v>5.0325610803678089E-2</c:v>
                </c:pt>
                <c:pt idx="34">
                  <c:v>7.7953218799963586E-2</c:v>
                </c:pt>
                <c:pt idx="35">
                  <c:v>7.9381087963233121E-2</c:v>
                </c:pt>
                <c:pt idx="36">
                  <c:v>8.7084940192966587E-2</c:v>
                </c:pt>
                <c:pt idx="37">
                  <c:v>9.9736525104727136E-2</c:v>
                </c:pt>
                <c:pt idx="38">
                  <c:v>0.10936634039189391</c:v>
                </c:pt>
                <c:pt idx="39">
                  <c:v>0.1097316092476141</c:v>
                </c:pt>
                <c:pt idx="40">
                  <c:v>0.13237827830226151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95-452B-8837-E5A035B458A1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A!$F$21:$F$300</c:f>
              <c:numCache>
                <c:formatCode>General</c:formatCode>
                <c:ptCount val="280"/>
                <c:pt idx="0">
                  <c:v>0</c:v>
                </c:pt>
                <c:pt idx="1">
                  <c:v>0</c:v>
                </c:pt>
                <c:pt idx="2">
                  <c:v>266</c:v>
                </c:pt>
                <c:pt idx="3">
                  <c:v>440</c:v>
                </c:pt>
                <c:pt idx="4">
                  <c:v>529</c:v>
                </c:pt>
                <c:pt idx="5">
                  <c:v>1356</c:v>
                </c:pt>
                <c:pt idx="6">
                  <c:v>1410</c:v>
                </c:pt>
                <c:pt idx="7">
                  <c:v>3901</c:v>
                </c:pt>
                <c:pt idx="8">
                  <c:v>4258</c:v>
                </c:pt>
                <c:pt idx="9">
                  <c:v>4276</c:v>
                </c:pt>
                <c:pt idx="10">
                  <c:v>5057</c:v>
                </c:pt>
                <c:pt idx="11">
                  <c:v>5136</c:v>
                </c:pt>
                <c:pt idx="12">
                  <c:v>5920</c:v>
                </c:pt>
                <c:pt idx="13">
                  <c:v>6093</c:v>
                </c:pt>
                <c:pt idx="14">
                  <c:v>6106</c:v>
                </c:pt>
                <c:pt idx="15">
                  <c:v>6474.5</c:v>
                </c:pt>
                <c:pt idx="16">
                  <c:v>6591</c:v>
                </c:pt>
                <c:pt idx="17">
                  <c:v>6599</c:v>
                </c:pt>
                <c:pt idx="18">
                  <c:v>6645</c:v>
                </c:pt>
                <c:pt idx="19">
                  <c:v>6734</c:v>
                </c:pt>
                <c:pt idx="20">
                  <c:v>6739</c:v>
                </c:pt>
                <c:pt idx="21">
                  <c:v>6772</c:v>
                </c:pt>
                <c:pt idx="22">
                  <c:v>6790</c:v>
                </c:pt>
                <c:pt idx="23">
                  <c:v>6811</c:v>
                </c:pt>
                <c:pt idx="24">
                  <c:v>6844</c:v>
                </c:pt>
                <c:pt idx="25">
                  <c:v>7007</c:v>
                </c:pt>
                <c:pt idx="26">
                  <c:v>12880</c:v>
                </c:pt>
                <c:pt idx="27">
                  <c:v>13776</c:v>
                </c:pt>
                <c:pt idx="28">
                  <c:v>14681</c:v>
                </c:pt>
                <c:pt idx="29">
                  <c:v>14733</c:v>
                </c:pt>
                <c:pt idx="30">
                  <c:v>14782</c:v>
                </c:pt>
                <c:pt idx="31">
                  <c:v>15197</c:v>
                </c:pt>
                <c:pt idx="32">
                  <c:v>15208</c:v>
                </c:pt>
                <c:pt idx="33">
                  <c:v>15208</c:v>
                </c:pt>
                <c:pt idx="34">
                  <c:v>16040</c:v>
                </c:pt>
                <c:pt idx="35">
                  <c:v>16083</c:v>
                </c:pt>
                <c:pt idx="36">
                  <c:v>16315</c:v>
                </c:pt>
                <c:pt idx="37">
                  <c:v>16696</c:v>
                </c:pt>
                <c:pt idx="38">
                  <c:v>16986</c:v>
                </c:pt>
                <c:pt idx="39">
                  <c:v>16997</c:v>
                </c:pt>
                <c:pt idx="40">
                  <c:v>17679</c:v>
                </c:pt>
              </c:numCache>
            </c:numRef>
          </c:xVal>
          <c:yVal>
            <c:numRef>
              <c:f>A!$U$21:$U$300</c:f>
              <c:numCache>
                <c:formatCode>General</c:formatCode>
                <c:ptCount val="280"/>
                <c:pt idx="15">
                  <c:v>0.39930400000594091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95-452B-8837-E5A035B45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41824"/>
        <c:axId val="1"/>
      </c:scatterChart>
      <c:valAx>
        <c:axId val="610541824"/>
        <c:scaling>
          <c:orientation val="minMax"/>
          <c:max val="18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665668551994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541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607482163321"/>
          <c:y val="0.92000129214617399"/>
          <c:w val="0.846831725259694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200025</xdr:colOff>
      <xdr:row>18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4E3C6F-A256-7A88-77DA-73FF3A912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104776</xdr:rowOff>
    </xdr:from>
    <xdr:to>
      <xdr:col>27</xdr:col>
      <xdr:colOff>133350</xdr:colOff>
      <xdr:row>17</xdr:row>
      <xdr:rowOff>114301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F33AACBF-E1CC-477A-6216-34C8964BC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60" TargetMode="External"/><Relationship Id="rId13" Type="http://schemas.openxmlformats.org/officeDocument/2006/relationships/hyperlink" Target="http://www.konkoly.hu/cgi-bin/IBVS?360" TargetMode="External"/><Relationship Id="rId18" Type="http://schemas.openxmlformats.org/officeDocument/2006/relationships/hyperlink" Target="http://www.konkoly.hu/cgi-bin/IBVS?360" TargetMode="External"/><Relationship Id="rId26" Type="http://schemas.openxmlformats.org/officeDocument/2006/relationships/hyperlink" Target="http://www.bav-astro.de/sfs/BAVM_link.php?BAVMnr=68" TargetMode="External"/><Relationship Id="rId3" Type="http://schemas.openxmlformats.org/officeDocument/2006/relationships/hyperlink" Target="http://www.konkoly.hu/cgi-bin/IBVS?360" TargetMode="External"/><Relationship Id="rId21" Type="http://schemas.openxmlformats.org/officeDocument/2006/relationships/hyperlink" Target="http://www.konkoly.hu/cgi-bin/IBVS?360" TargetMode="External"/><Relationship Id="rId34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konkoly.hu/cgi-bin/IBVS?360" TargetMode="External"/><Relationship Id="rId12" Type="http://schemas.openxmlformats.org/officeDocument/2006/relationships/hyperlink" Target="http://www.konkoly.hu/cgi-bin/IBVS?360" TargetMode="External"/><Relationship Id="rId17" Type="http://schemas.openxmlformats.org/officeDocument/2006/relationships/hyperlink" Target="http://www.konkoly.hu/cgi-bin/IBVS?360" TargetMode="External"/><Relationship Id="rId25" Type="http://schemas.openxmlformats.org/officeDocument/2006/relationships/hyperlink" Target="http://www.konkoly.hu/cgi-bin/IBVS?360" TargetMode="External"/><Relationship Id="rId33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konkoly.hu/cgi-bin/IBVS?360" TargetMode="External"/><Relationship Id="rId16" Type="http://schemas.openxmlformats.org/officeDocument/2006/relationships/hyperlink" Target="http://www.konkoly.hu/cgi-bin/IBVS?360" TargetMode="External"/><Relationship Id="rId20" Type="http://schemas.openxmlformats.org/officeDocument/2006/relationships/hyperlink" Target="http://www.konkoly.hu/cgi-bin/IBVS?360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360" TargetMode="External"/><Relationship Id="rId6" Type="http://schemas.openxmlformats.org/officeDocument/2006/relationships/hyperlink" Target="http://www.konkoly.hu/cgi-bin/IBVS?360" TargetMode="External"/><Relationship Id="rId11" Type="http://schemas.openxmlformats.org/officeDocument/2006/relationships/hyperlink" Target="http://www.konkoly.hu/cgi-bin/IBVS?360" TargetMode="External"/><Relationship Id="rId24" Type="http://schemas.openxmlformats.org/officeDocument/2006/relationships/hyperlink" Target="http://www.konkoly.hu/cgi-bin/IBVS?360" TargetMode="External"/><Relationship Id="rId32" Type="http://schemas.openxmlformats.org/officeDocument/2006/relationships/hyperlink" Target="http://www.bav-astro.de/sfs/BAVM_link.php?BAVMnr=193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360" TargetMode="External"/><Relationship Id="rId15" Type="http://schemas.openxmlformats.org/officeDocument/2006/relationships/hyperlink" Target="http://www.konkoly.hu/cgi-bin/IBVS?360" TargetMode="External"/><Relationship Id="rId23" Type="http://schemas.openxmlformats.org/officeDocument/2006/relationships/hyperlink" Target="http://www.konkoly.hu/cgi-bin/IBVS?360" TargetMode="External"/><Relationship Id="rId28" Type="http://schemas.openxmlformats.org/officeDocument/2006/relationships/hyperlink" Target="http://www.konkoly.hu/cgi-bin/IBVS?5224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360" TargetMode="External"/><Relationship Id="rId19" Type="http://schemas.openxmlformats.org/officeDocument/2006/relationships/hyperlink" Target="http://www.konkoly.hu/cgi-bin/IBVS?360" TargetMode="External"/><Relationship Id="rId31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360" TargetMode="External"/><Relationship Id="rId9" Type="http://schemas.openxmlformats.org/officeDocument/2006/relationships/hyperlink" Target="http://www.konkoly.hu/cgi-bin/IBVS?360" TargetMode="External"/><Relationship Id="rId14" Type="http://schemas.openxmlformats.org/officeDocument/2006/relationships/hyperlink" Target="http://www.konkoly.hu/cgi-bin/IBVS?360" TargetMode="External"/><Relationship Id="rId22" Type="http://schemas.openxmlformats.org/officeDocument/2006/relationships/hyperlink" Target="http://www.konkoly.hu/cgi-bin/IBVS?360" TargetMode="External"/><Relationship Id="rId27" Type="http://schemas.openxmlformats.org/officeDocument/2006/relationships/hyperlink" Target="http://www.bav-astro.de/sfs/BAVM_link.php?BAVMnr=117" TargetMode="External"/><Relationship Id="rId30" Type="http://schemas.openxmlformats.org/officeDocument/2006/relationships/hyperlink" Target="http://www.bav-astro.de/sfs/BAVM_link.php?BAVMnr=172" TargetMode="External"/><Relationship Id="rId35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61" t="s">
        <v>214</v>
      </c>
    </row>
    <row r="2" spans="1:6" x14ac:dyDescent="0.2">
      <c r="A2" t="s">
        <v>24</v>
      </c>
      <c r="B2" s="11" t="s">
        <v>33</v>
      </c>
    </row>
    <row r="3" spans="1:6" ht="13.5" thickBot="1" x14ac:dyDescent="0.25"/>
    <row r="4" spans="1:6" ht="13.5" thickBot="1" x14ac:dyDescent="0.25">
      <c r="A4" s="4" t="s">
        <v>0</v>
      </c>
      <c r="C4" s="7">
        <v>28523.713</v>
      </c>
      <c r="D4" s="8">
        <v>1.6082080000000001</v>
      </c>
    </row>
    <row r="5" spans="1:6" x14ac:dyDescent="0.2">
      <c r="A5" s="12" t="s">
        <v>34</v>
      </c>
      <c r="B5" s="10"/>
      <c r="C5" s="13">
        <v>-9.5</v>
      </c>
      <c r="D5" s="10" t="s">
        <v>35</v>
      </c>
    </row>
    <row r="6" spans="1:6" x14ac:dyDescent="0.2">
      <c r="A6" s="4" t="s">
        <v>1</v>
      </c>
    </row>
    <row r="7" spans="1:6" x14ac:dyDescent="0.2">
      <c r="A7" t="s">
        <v>2</v>
      </c>
      <c r="C7">
        <f>+C4</f>
        <v>28523.713</v>
      </c>
    </row>
    <row r="8" spans="1:6" x14ac:dyDescent="0.2">
      <c r="A8" t="s">
        <v>3</v>
      </c>
      <c r="C8">
        <f>+D4</f>
        <v>1.6082080000000001</v>
      </c>
    </row>
    <row r="9" spans="1:6" x14ac:dyDescent="0.2">
      <c r="A9" s="26" t="s">
        <v>40</v>
      </c>
      <c r="B9" s="27">
        <v>55</v>
      </c>
      <c r="C9" s="15" t="str">
        <f>"F"&amp;B9</f>
        <v>F55</v>
      </c>
      <c r="D9" s="16" t="str">
        <f>"G"&amp;B9</f>
        <v>G55</v>
      </c>
    </row>
    <row r="10" spans="1:6" ht="13.5" thickBot="1" x14ac:dyDescent="0.25">
      <c r="A10" s="10"/>
      <c r="B10" s="10"/>
      <c r="C10" s="3" t="s">
        <v>20</v>
      </c>
      <c r="D10" s="3" t="s">
        <v>21</v>
      </c>
      <c r="E10" s="10"/>
    </row>
    <row r="11" spans="1:6" x14ac:dyDescent="0.2">
      <c r="A11" s="10" t="s">
        <v>16</v>
      </c>
      <c r="B11" s="10"/>
      <c r="C11" s="14">
        <f ca="1">INTERCEPT(INDIRECT($D$9):G992,INDIRECT($C$9):F992)</f>
        <v>-0.45467518535919388</v>
      </c>
      <c r="D11" s="2"/>
      <c r="E11" s="10"/>
    </row>
    <row r="12" spans="1:6" x14ac:dyDescent="0.2">
      <c r="A12" s="10" t="s">
        <v>17</v>
      </c>
      <c r="B12" s="10"/>
      <c r="C12" s="14">
        <f ca="1">SLOPE(INDIRECT($D$9):G992,INDIRECT($C$9):F992)</f>
        <v>3.3206259610920042E-5</v>
      </c>
      <c r="D12" s="2"/>
      <c r="E12" s="10"/>
    </row>
    <row r="13" spans="1:6" x14ac:dyDescent="0.2">
      <c r="A13" s="10" t="s">
        <v>19</v>
      </c>
      <c r="B13" s="10"/>
      <c r="C13" s="2" t="s">
        <v>14</v>
      </c>
    </row>
    <row r="14" spans="1:6" x14ac:dyDescent="0.2">
      <c r="A14" s="10"/>
      <c r="B14" s="10"/>
      <c r="C14" s="10"/>
    </row>
    <row r="15" spans="1:6" x14ac:dyDescent="0.2">
      <c r="A15" s="17" t="s">
        <v>18</v>
      </c>
      <c r="B15" s="10"/>
      <c r="C15" s="18">
        <f ca="1">(C7+C11)+(C8+C12)*INT(MAX(F21:F3533))</f>
        <v>56955.3546102783</v>
      </c>
      <c r="E15" s="19" t="s">
        <v>43</v>
      </c>
      <c r="F15" s="13">
        <v>1</v>
      </c>
    </row>
    <row r="16" spans="1:6" x14ac:dyDescent="0.2">
      <c r="A16" s="21" t="s">
        <v>4</v>
      </c>
      <c r="B16" s="10"/>
      <c r="C16" s="22">
        <f ca="1">+C8+C12</f>
        <v>1.608241206259611</v>
      </c>
      <c r="E16" s="19" t="s">
        <v>36</v>
      </c>
      <c r="F16" s="20">
        <f ca="1">NOW()+15018.5+$C$5/24</f>
        <v>60328.802235648145</v>
      </c>
    </row>
    <row r="17" spans="1:21" ht="13.5" thickBot="1" x14ac:dyDescent="0.25">
      <c r="A17" s="19" t="s">
        <v>38</v>
      </c>
      <c r="B17" s="10"/>
      <c r="C17" s="10">
        <f>COUNT(C21:C2191)</f>
        <v>41</v>
      </c>
      <c r="E17" s="19" t="s">
        <v>44</v>
      </c>
      <c r="F17" s="20">
        <f ca="1">ROUND(2*(F16-$C$7)/$C$8,0)/2+F15</f>
        <v>19777.5</v>
      </c>
    </row>
    <row r="18" spans="1:21" ht="14.25" thickTop="1" thickBot="1" x14ac:dyDescent="0.25">
      <c r="A18" s="21" t="s">
        <v>5</v>
      </c>
      <c r="B18" s="10"/>
      <c r="C18" s="24">
        <f ca="1">+C15</f>
        <v>56955.3546102783</v>
      </c>
      <c r="D18" s="25">
        <f ca="1">+C16</f>
        <v>1.608241206259611</v>
      </c>
      <c r="E18" s="19" t="s">
        <v>37</v>
      </c>
      <c r="F18" s="16">
        <f ca="1">ROUND(2*(F16-$C$15)/$C$16,0)/2+F15</f>
        <v>2098.5</v>
      </c>
    </row>
    <row r="19" spans="1:21" ht="13.5" thickTop="1" x14ac:dyDescent="0.2">
      <c r="E19" s="19" t="s">
        <v>39</v>
      </c>
      <c r="F19" s="23">
        <f ca="1">+$C$15+$C$16*F18-15018.5-$C$5/24</f>
        <v>45312.144614947429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55</v>
      </c>
      <c r="I20" s="6" t="s">
        <v>58</v>
      </c>
      <c r="J20" s="6" t="s">
        <v>52</v>
      </c>
      <c r="K20" s="6" t="s">
        <v>50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U20" s="60" t="s">
        <v>213</v>
      </c>
    </row>
    <row r="21" spans="1:21" x14ac:dyDescent="0.2">
      <c r="A21" s="56" t="s">
        <v>211</v>
      </c>
      <c r="B21" s="58" t="s">
        <v>32</v>
      </c>
      <c r="C21" s="56">
        <v>28523.692999999999</v>
      </c>
      <c r="D21" s="56" t="s">
        <v>58</v>
      </c>
      <c r="E21">
        <f t="shared" ref="E21:E61" si="0">+(C21-C$7)/C$8</f>
        <v>-1.2436202282563298E-2</v>
      </c>
      <c r="F21">
        <f t="shared" ref="F21:F61" si="1">ROUND(2*E21,0)/2</f>
        <v>0</v>
      </c>
      <c r="G21">
        <f t="shared" ref="G21:G35" si="2">+C21-(C$7+F21*C$8)</f>
        <v>-2.0000000000436557E-2</v>
      </c>
      <c r="H21">
        <f t="shared" ref="H21:H35" si="3">+G21</f>
        <v>-2.0000000000436557E-2</v>
      </c>
      <c r="Q21" s="1">
        <f t="shared" ref="Q21:Q61" si="4">+C21-15018.5</f>
        <v>13505.192999999999</v>
      </c>
      <c r="R21" t="s">
        <v>55</v>
      </c>
    </row>
    <row r="22" spans="1:21" x14ac:dyDescent="0.2">
      <c r="A22" s="9" t="s">
        <v>12</v>
      </c>
      <c r="B22" s="9"/>
      <c r="C22" s="31">
        <f>C$4</f>
        <v>28523.713</v>
      </c>
      <c r="D22" s="31"/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Q22" s="1">
        <f t="shared" si="4"/>
        <v>13505.213</v>
      </c>
    </row>
    <row r="23" spans="1:21" x14ac:dyDescent="0.2">
      <c r="A23" s="55" t="s">
        <v>211</v>
      </c>
      <c r="B23" s="57" t="s">
        <v>32</v>
      </c>
      <c r="C23" s="55">
        <v>28951.513999999999</v>
      </c>
      <c r="D23" s="55" t="s">
        <v>58</v>
      </c>
      <c r="E23">
        <f t="shared" si="0"/>
        <v>266.01098862833629</v>
      </c>
      <c r="F23">
        <f t="shared" si="1"/>
        <v>266</v>
      </c>
      <c r="G23">
        <f t="shared" si="2"/>
        <v>1.767199999812874E-2</v>
      </c>
      <c r="H23">
        <f t="shared" si="3"/>
        <v>1.767199999812874E-2</v>
      </c>
      <c r="Q23" s="1">
        <f t="shared" si="4"/>
        <v>13933.013999999999</v>
      </c>
      <c r="R23" t="s">
        <v>55</v>
      </c>
    </row>
    <row r="24" spans="1:21" x14ac:dyDescent="0.2">
      <c r="A24" s="55" t="s">
        <v>211</v>
      </c>
      <c r="B24" s="57" t="s">
        <v>32</v>
      </c>
      <c r="C24" s="55">
        <v>29231.368999999999</v>
      </c>
      <c r="D24" s="55" t="s">
        <v>58</v>
      </c>
      <c r="E24">
        <f t="shared" si="0"/>
        <v>440.02765811387519</v>
      </c>
      <c r="F24">
        <f t="shared" si="1"/>
        <v>440</v>
      </c>
      <c r="G24">
        <f t="shared" si="2"/>
        <v>4.4480000000476139E-2</v>
      </c>
      <c r="H24">
        <f t="shared" si="3"/>
        <v>4.4480000000476139E-2</v>
      </c>
      <c r="Q24" s="1">
        <f t="shared" si="4"/>
        <v>14212.868999999999</v>
      </c>
      <c r="R24" t="s">
        <v>55</v>
      </c>
    </row>
    <row r="25" spans="1:21" x14ac:dyDescent="0.2">
      <c r="A25" s="53" t="s">
        <v>211</v>
      </c>
      <c r="B25" s="54" t="s">
        <v>32</v>
      </c>
      <c r="C25" s="53">
        <v>29374.465</v>
      </c>
      <c r="D25" s="53" t="s">
        <v>58</v>
      </c>
      <c r="E25">
        <f t="shared" si="0"/>
        <v>529.00619820321776</v>
      </c>
      <c r="F25">
        <f t="shared" si="1"/>
        <v>529</v>
      </c>
      <c r="G25">
        <f t="shared" si="2"/>
        <v>9.9680000021180604E-3</v>
      </c>
      <c r="H25">
        <f t="shared" si="3"/>
        <v>9.9680000021180604E-3</v>
      </c>
      <c r="Q25" s="1">
        <f t="shared" si="4"/>
        <v>14355.965</v>
      </c>
      <c r="R25" t="s">
        <v>55</v>
      </c>
    </row>
    <row r="26" spans="1:21" x14ac:dyDescent="0.2">
      <c r="A26" s="53" t="s">
        <v>211</v>
      </c>
      <c r="B26" s="54" t="s">
        <v>32</v>
      </c>
      <c r="C26" s="53">
        <v>30704.41</v>
      </c>
      <c r="D26" s="53" t="s">
        <v>58</v>
      </c>
      <c r="E26">
        <f t="shared" si="0"/>
        <v>1355.9794504193487</v>
      </c>
      <c r="F26">
        <f t="shared" si="1"/>
        <v>1356</v>
      </c>
      <c r="G26">
        <f t="shared" si="2"/>
        <v>-3.3048000001144828E-2</v>
      </c>
      <c r="H26">
        <f t="shared" si="3"/>
        <v>-3.3048000001144828E-2</v>
      </c>
      <c r="Q26" s="1">
        <f t="shared" si="4"/>
        <v>15685.91</v>
      </c>
      <c r="R26" t="s">
        <v>55</v>
      </c>
    </row>
    <row r="27" spans="1:21" x14ac:dyDescent="0.2">
      <c r="A27" s="53" t="s">
        <v>211</v>
      </c>
      <c r="B27" s="54" t="s">
        <v>32</v>
      </c>
      <c r="C27" s="53">
        <v>30791.319</v>
      </c>
      <c r="D27" s="53" t="s">
        <v>58</v>
      </c>
      <c r="E27">
        <f t="shared" si="0"/>
        <v>1410.0203456269337</v>
      </c>
      <c r="F27">
        <f t="shared" si="1"/>
        <v>1410</v>
      </c>
      <c r="G27">
        <f t="shared" si="2"/>
        <v>3.2719999999244465E-2</v>
      </c>
      <c r="H27">
        <f t="shared" si="3"/>
        <v>3.2719999999244465E-2</v>
      </c>
      <c r="Q27" s="1">
        <f t="shared" si="4"/>
        <v>15772.819</v>
      </c>
      <c r="R27" t="s">
        <v>55</v>
      </c>
    </row>
    <row r="28" spans="1:21" x14ac:dyDescent="0.2">
      <c r="A28" s="53" t="s">
        <v>211</v>
      </c>
      <c r="B28" s="54" t="s">
        <v>32</v>
      </c>
      <c r="C28" s="53">
        <v>34797.330999999998</v>
      </c>
      <c r="D28" s="53" t="s">
        <v>58</v>
      </c>
      <c r="E28">
        <f t="shared" si="0"/>
        <v>3900.9991244913581</v>
      </c>
      <c r="F28">
        <f t="shared" si="1"/>
        <v>3901</v>
      </c>
      <c r="G28">
        <f t="shared" si="2"/>
        <v>-1.4080000037210993E-3</v>
      </c>
      <c r="H28">
        <f t="shared" si="3"/>
        <v>-1.4080000037210993E-3</v>
      </c>
      <c r="Q28" s="1">
        <f t="shared" si="4"/>
        <v>19778.830999999998</v>
      </c>
      <c r="R28" t="s">
        <v>55</v>
      </c>
    </row>
    <row r="29" spans="1:21" x14ac:dyDescent="0.2">
      <c r="A29" s="53" t="s">
        <v>211</v>
      </c>
      <c r="B29" s="54" t="s">
        <v>32</v>
      </c>
      <c r="C29" s="53">
        <v>35371.461000000003</v>
      </c>
      <c r="D29" s="53" t="s">
        <v>58</v>
      </c>
      <c r="E29">
        <f t="shared" si="0"/>
        <v>4257.998965307972</v>
      </c>
      <c r="F29">
        <f t="shared" si="1"/>
        <v>4258</v>
      </c>
      <c r="G29">
        <f t="shared" si="2"/>
        <v>-1.6639999957988039E-3</v>
      </c>
      <c r="H29">
        <f t="shared" si="3"/>
        <v>-1.6639999957988039E-3</v>
      </c>
      <c r="Q29" s="1">
        <f t="shared" si="4"/>
        <v>20352.961000000003</v>
      </c>
      <c r="R29" t="s">
        <v>55</v>
      </c>
    </row>
    <row r="30" spans="1:21" x14ac:dyDescent="0.2">
      <c r="A30" s="53" t="s">
        <v>211</v>
      </c>
      <c r="B30" s="54" t="s">
        <v>32</v>
      </c>
      <c r="C30" s="53">
        <v>35400.421000000002</v>
      </c>
      <c r="D30" s="53" t="s">
        <v>58</v>
      </c>
      <c r="E30">
        <f t="shared" si="0"/>
        <v>4276.0065862127303</v>
      </c>
      <c r="F30">
        <f t="shared" si="1"/>
        <v>4276</v>
      </c>
      <c r="G30">
        <f t="shared" si="2"/>
        <v>1.059200000599958E-2</v>
      </c>
      <c r="H30">
        <f t="shared" si="3"/>
        <v>1.059200000599958E-2</v>
      </c>
      <c r="Q30" s="1">
        <f t="shared" si="4"/>
        <v>20381.921000000002</v>
      </c>
      <c r="R30" t="s">
        <v>55</v>
      </c>
    </row>
    <row r="31" spans="1:21" x14ac:dyDescent="0.2">
      <c r="A31" s="53" t="s">
        <v>211</v>
      </c>
      <c r="B31" s="54" t="s">
        <v>32</v>
      </c>
      <c r="C31" s="53">
        <v>36656.413999999997</v>
      </c>
      <c r="D31" s="53" t="s">
        <v>58</v>
      </c>
      <c r="E31">
        <f t="shared" si="0"/>
        <v>5056.995736869856</v>
      </c>
      <c r="F31">
        <f t="shared" si="1"/>
        <v>5057</v>
      </c>
      <c r="G31">
        <f t="shared" si="2"/>
        <v>-6.8559999999706633E-3</v>
      </c>
      <c r="H31">
        <f t="shared" si="3"/>
        <v>-6.8559999999706633E-3</v>
      </c>
      <c r="Q31" s="1">
        <f t="shared" si="4"/>
        <v>21637.913999999997</v>
      </c>
      <c r="R31" t="s">
        <v>55</v>
      </c>
    </row>
    <row r="32" spans="1:21" x14ac:dyDescent="0.2">
      <c r="A32" s="53" t="s">
        <v>211</v>
      </c>
      <c r="B32" s="54" t="s">
        <v>32</v>
      </c>
      <c r="C32" s="53">
        <v>36783.553</v>
      </c>
      <c r="D32" s="53" t="s">
        <v>58</v>
      </c>
      <c r="E32">
        <f t="shared" si="0"/>
        <v>5136.0520529682726</v>
      </c>
      <c r="F32">
        <f t="shared" si="1"/>
        <v>5136</v>
      </c>
      <c r="G32">
        <f t="shared" si="2"/>
        <v>8.3711999999650288E-2</v>
      </c>
      <c r="H32">
        <f t="shared" si="3"/>
        <v>8.3711999999650288E-2</v>
      </c>
      <c r="Q32" s="1">
        <f t="shared" si="4"/>
        <v>21765.053</v>
      </c>
      <c r="R32" t="s">
        <v>55</v>
      </c>
    </row>
    <row r="33" spans="1:21" x14ac:dyDescent="0.2">
      <c r="A33" s="53" t="s">
        <v>211</v>
      </c>
      <c r="B33" s="54" t="s">
        <v>32</v>
      </c>
      <c r="C33" s="53">
        <v>38044.284</v>
      </c>
      <c r="D33" s="53" t="s">
        <v>58</v>
      </c>
      <c r="E33">
        <f t="shared" si="0"/>
        <v>5919.9873399460766</v>
      </c>
      <c r="F33">
        <f t="shared" si="1"/>
        <v>5920</v>
      </c>
      <c r="G33">
        <f t="shared" si="2"/>
        <v>-2.0360000002256129E-2</v>
      </c>
      <c r="H33">
        <f t="shared" si="3"/>
        <v>-2.0360000002256129E-2</v>
      </c>
      <c r="Q33" s="1">
        <f t="shared" si="4"/>
        <v>23025.784</v>
      </c>
      <c r="R33" t="s">
        <v>55</v>
      </c>
    </row>
    <row r="34" spans="1:21" x14ac:dyDescent="0.2">
      <c r="A34" s="53" t="s">
        <v>211</v>
      </c>
      <c r="B34" s="54" t="s">
        <v>32</v>
      </c>
      <c r="C34" s="53">
        <v>38322.534</v>
      </c>
      <c r="D34" s="53" t="s">
        <v>58</v>
      </c>
      <c r="E34">
        <f t="shared" si="0"/>
        <v>6093.0060041984616</v>
      </c>
      <c r="F34">
        <f t="shared" si="1"/>
        <v>6093</v>
      </c>
      <c r="G34">
        <f t="shared" si="2"/>
        <v>9.6560000019962899E-3</v>
      </c>
      <c r="H34">
        <f t="shared" si="3"/>
        <v>9.6560000019962899E-3</v>
      </c>
      <c r="Q34" s="1">
        <f t="shared" si="4"/>
        <v>23304.034</v>
      </c>
      <c r="R34" t="s">
        <v>55</v>
      </c>
    </row>
    <row r="35" spans="1:21" x14ac:dyDescent="0.2">
      <c r="A35" s="53" t="s">
        <v>211</v>
      </c>
      <c r="B35" s="54" t="s">
        <v>32</v>
      </c>
      <c r="C35" s="53">
        <v>38343.432000000001</v>
      </c>
      <c r="D35" s="53" t="s">
        <v>58</v>
      </c>
      <c r="E35">
        <f t="shared" si="0"/>
        <v>6106.0005919632285</v>
      </c>
      <c r="F35">
        <f t="shared" si="1"/>
        <v>6106</v>
      </c>
      <c r="G35">
        <f t="shared" si="2"/>
        <v>9.5200000214390457E-4</v>
      </c>
      <c r="H35">
        <f t="shared" si="3"/>
        <v>9.5200000214390457E-4</v>
      </c>
      <c r="Q35" s="1">
        <f t="shared" si="4"/>
        <v>23324.932000000001</v>
      </c>
      <c r="R35" t="s">
        <v>55</v>
      </c>
    </row>
    <row r="36" spans="1:21" x14ac:dyDescent="0.2">
      <c r="A36" s="53" t="s">
        <v>211</v>
      </c>
      <c r="B36" s="54" t="s">
        <v>32</v>
      </c>
      <c r="C36" s="53">
        <v>38936.455000000002</v>
      </c>
      <c r="D36" s="53" t="s">
        <v>58</v>
      </c>
      <c r="E36">
        <f t="shared" si="0"/>
        <v>6474.748291265807</v>
      </c>
      <c r="F36">
        <f t="shared" si="1"/>
        <v>6474.5</v>
      </c>
      <c r="Q36" s="1">
        <f t="shared" si="4"/>
        <v>23917.955000000002</v>
      </c>
      <c r="R36" t="s">
        <v>55</v>
      </c>
      <c r="U36">
        <f>+C36-(C$7+F36*C$8)</f>
        <v>0.39930400000594091</v>
      </c>
    </row>
    <row r="37" spans="1:21" x14ac:dyDescent="0.2">
      <c r="A37" s="53" t="s">
        <v>211</v>
      </c>
      <c r="B37" s="54" t="s">
        <v>32</v>
      </c>
      <c r="C37" s="53">
        <v>39123.43</v>
      </c>
      <c r="D37" s="53" t="s">
        <v>58</v>
      </c>
      <c r="E37">
        <f t="shared" si="0"/>
        <v>6591.0112373523825</v>
      </c>
      <c r="F37">
        <f t="shared" si="1"/>
        <v>6591</v>
      </c>
      <c r="G37">
        <f t="shared" ref="G37:G61" si="5">+C37-(C$7+F37*C$8)</f>
        <v>1.8071999998937827E-2</v>
      </c>
      <c r="H37">
        <f t="shared" ref="H37:H46" si="6">+G37</f>
        <v>1.8071999998937827E-2</v>
      </c>
      <c r="Q37" s="1">
        <f t="shared" si="4"/>
        <v>24104.93</v>
      </c>
      <c r="R37" t="s">
        <v>55</v>
      </c>
    </row>
    <row r="38" spans="1:21" x14ac:dyDescent="0.2">
      <c r="A38" s="53" t="s">
        <v>211</v>
      </c>
      <c r="B38" s="54" t="s">
        <v>32</v>
      </c>
      <c r="C38" s="53">
        <v>39136.264999999999</v>
      </c>
      <c r="D38" s="53" t="s">
        <v>58</v>
      </c>
      <c r="E38">
        <f t="shared" si="0"/>
        <v>6598.9921701670428</v>
      </c>
      <c r="F38">
        <f t="shared" si="1"/>
        <v>6599</v>
      </c>
      <c r="G38">
        <f t="shared" si="5"/>
        <v>-1.2591999999131076E-2</v>
      </c>
      <c r="H38">
        <f t="shared" si="6"/>
        <v>-1.2591999999131076E-2</v>
      </c>
      <c r="Q38" s="1">
        <f t="shared" si="4"/>
        <v>24117.764999999999</v>
      </c>
      <c r="R38" t="s">
        <v>55</v>
      </c>
    </row>
    <row r="39" spans="1:21" x14ac:dyDescent="0.2">
      <c r="A39" s="53" t="s">
        <v>211</v>
      </c>
      <c r="B39" s="54" t="s">
        <v>32</v>
      </c>
      <c r="C39" s="53">
        <v>39210.324000000001</v>
      </c>
      <c r="D39" s="53" t="s">
        <v>58</v>
      </c>
      <c r="E39">
        <f t="shared" si="0"/>
        <v>6645.0428054082558</v>
      </c>
      <c r="F39">
        <f t="shared" si="1"/>
        <v>6645</v>
      </c>
      <c r="G39">
        <f t="shared" si="5"/>
        <v>6.8839999999909196E-2</v>
      </c>
      <c r="H39">
        <f t="shared" si="6"/>
        <v>6.8839999999909196E-2</v>
      </c>
      <c r="Q39" s="1">
        <f t="shared" si="4"/>
        <v>24191.824000000001</v>
      </c>
      <c r="R39" t="s">
        <v>55</v>
      </c>
    </row>
    <row r="40" spans="1:21" x14ac:dyDescent="0.2">
      <c r="A40" s="53" t="s">
        <v>211</v>
      </c>
      <c r="B40" s="54" t="s">
        <v>32</v>
      </c>
      <c r="C40" s="53">
        <v>39353.482000000004</v>
      </c>
      <c r="D40" s="53" t="s">
        <v>58</v>
      </c>
      <c r="E40">
        <f t="shared" si="0"/>
        <v>6734.0598977246746</v>
      </c>
      <c r="F40">
        <f t="shared" si="1"/>
        <v>6734</v>
      </c>
      <c r="G40">
        <f t="shared" si="5"/>
        <v>9.6327999999630265E-2</v>
      </c>
      <c r="H40">
        <f t="shared" si="6"/>
        <v>9.6327999999630265E-2</v>
      </c>
      <c r="Q40" s="1">
        <f t="shared" si="4"/>
        <v>24334.982000000004</v>
      </c>
      <c r="R40" t="s">
        <v>55</v>
      </c>
    </row>
    <row r="41" spans="1:21" x14ac:dyDescent="0.2">
      <c r="A41" s="53" t="s">
        <v>211</v>
      </c>
      <c r="B41" s="54" t="s">
        <v>32</v>
      </c>
      <c r="C41" s="53">
        <v>39361.457999999999</v>
      </c>
      <c r="D41" s="53" t="s">
        <v>58</v>
      </c>
      <c r="E41">
        <f t="shared" si="0"/>
        <v>6739.0194551948498</v>
      </c>
      <c r="F41">
        <f t="shared" si="1"/>
        <v>6739</v>
      </c>
      <c r="G41">
        <f t="shared" si="5"/>
        <v>3.1287999998312443E-2</v>
      </c>
      <c r="H41">
        <f t="shared" si="6"/>
        <v>3.1287999998312443E-2</v>
      </c>
      <c r="Q41" s="1">
        <f t="shared" si="4"/>
        <v>24342.957999999999</v>
      </c>
      <c r="R41" t="s">
        <v>55</v>
      </c>
    </row>
    <row r="42" spans="1:21" x14ac:dyDescent="0.2">
      <c r="A42" s="53" t="s">
        <v>211</v>
      </c>
      <c r="B42" s="54" t="s">
        <v>32</v>
      </c>
      <c r="C42" s="53">
        <v>39414.459000000003</v>
      </c>
      <c r="D42" s="53" t="s">
        <v>58</v>
      </c>
      <c r="E42">
        <f t="shared" si="0"/>
        <v>6771.9760130530394</v>
      </c>
      <c r="F42">
        <f t="shared" si="1"/>
        <v>6772</v>
      </c>
      <c r="G42">
        <f t="shared" si="5"/>
        <v>-3.8575999999011401E-2</v>
      </c>
      <c r="H42">
        <f t="shared" si="6"/>
        <v>-3.8575999999011401E-2</v>
      </c>
      <c r="Q42" s="1">
        <f t="shared" si="4"/>
        <v>24395.959000000003</v>
      </c>
      <c r="R42" t="s">
        <v>55</v>
      </c>
    </row>
    <row r="43" spans="1:21" x14ac:dyDescent="0.2">
      <c r="A43" s="53" t="s">
        <v>211</v>
      </c>
      <c r="B43" s="54" t="s">
        <v>32</v>
      </c>
      <c r="C43" s="53">
        <v>39443.438999999998</v>
      </c>
      <c r="D43" s="53" t="s">
        <v>58</v>
      </c>
      <c r="E43">
        <f t="shared" si="0"/>
        <v>6789.9960701600776</v>
      </c>
      <c r="F43">
        <f t="shared" si="1"/>
        <v>6790</v>
      </c>
      <c r="G43">
        <f t="shared" si="5"/>
        <v>-6.3200000004144385E-3</v>
      </c>
      <c r="H43">
        <f t="shared" si="6"/>
        <v>-6.3200000004144385E-3</v>
      </c>
      <c r="Q43" s="1">
        <f t="shared" si="4"/>
        <v>24424.938999999998</v>
      </c>
      <c r="R43" t="s">
        <v>55</v>
      </c>
    </row>
    <row r="44" spans="1:21" x14ac:dyDescent="0.2">
      <c r="A44" s="53" t="s">
        <v>211</v>
      </c>
      <c r="B44" s="54" t="s">
        <v>32</v>
      </c>
      <c r="C44" s="53">
        <v>39477.233</v>
      </c>
      <c r="D44" s="53" t="s">
        <v>58</v>
      </c>
      <c r="E44">
        <f t="shared" si="0"/>
        <v>6811.0095211564676</v>
      </c>
      <c r="F44">
        <f t="shared" si="1"/>
        <v>6811</v>
      </c>
      <c r="G44">
        <f t="shared" si="5"/>
        <v>1.5311999995901715E-2</v>
      </c>
      <c r="H44">
        <f t="shared" si="6"/>
        <v>1.5311999995901715E-2</v>
      </c>
      <c r="Q44" s="1">
        <f t="shared" si="4"/>
        <v>24458.733</v>
      </c>
      <c r="R44" t="s">
        <v>55</v>
      </c>
    </row>
    <row r="45" spans="1:21" x14ac:dyDescent="0.2">
      <c r="A45" s="53" t="s">
        <v>211</v>
      </c>
      <c r="B45" s="54" t="s">
        <v>32</v>
      </c>
      <c r="C45" s="53">
        <v>39530.334999999999</v>
      </c>
      <c r="D45" s="53" t="s">
        <v>58</v>
      </c>
      <c r="E45">
        <f t="shared" si="0"/>
        <v>6844.0288818361796</v>
      </c>
      <c r="F45">
        <f t="shared" si="1"/>
        <v>6844</v>
      </c>
      <c r="G45">
        <f t="shared" si="5"/>
        <v>4.6448000000964385E-2</v>
      </c>
      <c r="H45">
        <f t="shared" si="6"/>
        <v>4.6448000000964385E-2</v>
      </c>
      <c r="Q45" s="1">
        <f t="shared" si="4"/>
        <v>24511.834999999999</v>
      </c>
      <c r="R45" t="s">
        <v>55</v>
      </c>
    </row>
    <row r="46" spans="1:21" x14ac:dyDescent="0.2">
      <c r="A46" s="53" t="s">
        <v>211</v>
      </c>
      <c r="B46" s="54" t="s">
        <v>32</v>
      </c>
      <c r="C46" s="53">
        <v>39792.461000000003</v>
      </c>
      <c r="D46" s="53" t="s">
        <v>58</v>
      </c>
      <c r="E46">
        <f t="shared" si="0"/>
        <v>7007.0214798085835</v>
      </c>
      <c r="F46">
        <f t="shared" si="1"/>
        <v>7007</v>
      </c>
      <c r="G46">
        <f t="shared" si="5"/>
        <v>3.4544000001915265E-2</v>
      </c>
      <c r="H46">
        <f t="shared" si="6"/>
        <v>3.4544000001915265E-2</v>
      </c>
      <c r="O46">
        <f t="shared" ref="O46:O61" ca="1" si="7">+C$11+C$12*$F46</f>
        <v>-0.22199892426547715</v>
      </c>
      <c r="Q46" s="1">
        <f t="shared" si="4"/>
        <v>24773.961000000003</v>
      </c>
      <c r="R46" t="s">
        <v>55</v>
      </c>
    </row>
    <row r="47" spans="1:21" x14ac:dyDescent="0.2">
      <c r="A47" s="53" t="s">
        <v>141</v>
      </c>
      <c r="B47" s="54" t="s">
        <v>32</v>
      </c>
      <c r="C47" s="53">
        <v>49237.463100000001</v>
      </c>
      <c r="D47" s="53" t="s">
        <v>58</v>
      </c>
      <c r="E47">
        <f t="shared" si="0"/>
        <v>12880.019313422144</v>
      </c>
      <c r="F47">
        <f t="shared" si="1"/>
        <v>12880</v>
      </c>
      <c r="G47">
        <f t="shared" si="5"/>
        <v>3.1060000001161825E-2</v>
      </c>
      <c r="K47">
        <f>+G47</f>
        <v>3.1060000001161825E-2</v>
      </c>
      <c r="O47">
        <f t="shared" ca="1" si="7"/>
        <v>-2.6978561570543735E-2</v>
      </c>
      <c r="Q47" s="1">
        <f t="shared" si="4"/>
        <v>34218.963100000001</v>
      </c>
    </row>
    <row r="48" spans="1:21" x14ac:dyDescent="0.2">
      <c r="A48" s="10" t="s">
        <v>28</v>
      </c>
      <c r="B48" s="10"/>
      <c r="C48" s="59">
        <v>50678.424800000001</v>
      </c>
      <c r="D48" s="59"/>
      <c r="E48">
        <f t="shared" si="0"/>
        <v>13776.0238725339</v>
      </c>
      <c r="F48">
        <f t="shared" si="1"/>
        <v>13776</v>
      </c>
      <c r="G48">
        <f t="shared" si="5"/>
        <v>3.8391999994928483E-2</v>
      </c>
      <c r="J48">
        <f>+G48</f>
        <v>3.8391999994928483E-2</v>
      </c>
      <c r="O48">
        <f t="shared" ca="1" si="7"/>
        <v>2.7742470408406161E-3</v>
      </c>
      <c r="Q48" s="1">
        <f t="shared" si="4"/>
        <v>35659.924800000001</v>
      </c>
      <c r="R48" t="s">
        <v>52</v>
      </c>
    </row>
    <row r="49" spans="1:18" x14ac:dyDescent="0.2">
      <c r="A49" s="21" t="s">
        <v>29</v>
      </c>
      <c r="B49" s="10"/>
      <c r="C49" s="59">
        <v>52133.856500000002</v>
      </c>
      <c r="D49" s="59">
        <v>1E-3</v>
      </c>
      <c r="E49">
        <f t="shared" si="0"/>
        <v>14681.026023996896</v>
      </c>
      <c r="F49">
        <f t="shared" si="1"/>
        <v>14681</v>
      </c>
      <c r="G49">
        <f t="shared" si="5"/>
        <v>4.185200000210898E-2</v>
      </c>
      <c r="K49">
        <f>+G49</f>
        <v>4.185200000210898E-2</v>
      </c>
      <c r="O49">
        <f t="shared" ca="1" si="7"/>
        <v>3.2825911988723255E-2</v>
      </c>
      <c r="Q49" s="1">
        <f t="shared" si="4"/>
        <v>37115.356500000002</v>
      </c>
      <c r="R49" t="s">
        <v>50</v>
      </c>
    </row>
    <row r="50" spans="1:18" x14ac:dyDescent="0.2">
      <c r="A50" s="53" t="s">
        <v>156</v>
      </c>
      <c r="B50" s="54" t="s">
        <v>32</v>
      </c>
      <c r="C50" s="53">
        <v>52217.485200000003</v>
      </c>
      <c r="D50" s="53" t="s">
        <v>58</v>
      </c>
      <c r="E50">
        <f t="shared" si="0"/>
        <v>14733.027195487151</v>
      </c>
      <c r="F50">
        <f t="shared" si="1"/>
        <v>14733</v>
      </c>
      <c r="G50">
        <f t="shared" si="5"/>
        <v>4.3735999999626074E-2</v>
      </c>
      <c r="K50">
        <f>+G50</f>
        <v>4.3735999999626074E-2</v>
      </c>
      <c r="O50">
        <f t="shared" ca="1" si="7"/>
        <v>3.4552637488491078E-2</v>
      </c>
      <c r="Q50" s="1">
        <f t="shared" si="4"/>
        <v>37198.985200000003</v>
      </c>
    </row>
    <row r="51" spans="1:18" x14ac:dyDescent="0.2">
      <c r="A51" s="53" t="s">
        <v>156</v>
      </c>
      <c r="B51" s="54" t="s">
        <v>32</v>
      </c>
      <c r="C51" s="53">
        <v>52296.287600000003</v>
      </c>
      <c r="D51" s="53" t="s">
        <v>58</v>
      </c>
      <c r="E51">
        <f t="shared" si="0"/>
        <v>14782.027324823655</v>
      </c>
      <c r="F51">
        <f t="shared" si="1"/>
        <v>14782</v>
      </c>
      <c r="G51">
        <f t="shared" si="5"/>
        <v>4.3943999997281935E-2</v>
      </c>
      <c r="K51">
        <f>+G51</f>
        <v>4.3943999997281935E-2</v>
      </c>
      <c r="O51">
        <f t="shared" ca="1" si="7"/>
        <v>3.6179744209426157E-2</v>
      </c>
      <c r="Q51" s="1">
        <f t="shared" si="4"/>
        <v>37277.787600000003</v>
      </c>
    </row>
    <row r="52" spans="1:18" x14ac:dyDescent="0.2">
      <c r="A52" s="21" t="s">
        <v>30</v>
      </c>
      <c r="B52" s="10"/>
      <c r="C52" s="59">
        <v>52963.700799999999</v>
      </c>
      <c r="D52" s="59">
        <v>2.0000000000000001E-4</v>
      </c>
      <c r="E52">
        <f t="shared" si="0"/>
        <v>15197.031602877238</v>
      </c>
      <c r="F52">
        <f t="shared" si="1"/>
        <v>15197</v>
      </c>
      <c r="G52">
        <f t="shared" si="5"/>
        <v>5.0823999998101499E-2</v>
      </c>
      <c r="K52">
        <f>+G52</f>
        <v>5.0823999998101499E-2</v>
      </c>
      <c r="O52">
        <f t="shared" ca="1" si="7"/>
        <v>4.9960341947958009E-2</v>
      </c>
      <c r="Q52" s="1">
        <f t="shared" si="4"/>
        <v>37945.200799999999</v>
      </c>
      <c r="R52" t="s">
        <v>50</v>
      </c>
    </row>
    <row r="53" spans="1:18" x14ac:dyDescent="0.2">
      <c r="A53" s="10" t="s">
        <v>31</v>
      </c>
      <c r="B53" s="2" t="s">
        <v>32</v>
      </c>
      <c r="C53" s="32">
        <v>52981.389199999998</v>
      </c>
      <c r="D53" s="33">
        <v>1.2999999999999999E-3</v>
      </c>
      <c r="E53">
        <f t="shared" si="0"/>
        <v>15208.030428899743</v>
      </c>
      <c r="F53">
        <f t="shared" si="1"/>
        <v>15208</v>
      </c>
      <c r="G53">
        <f t="shared" si="5"/>
        <v>4.8935999999230262E-2</v>
      </c>
      <c r="K53">
        <f>+G53</f>
        <v>4.8935999999230262E-2</v>
      </c>
      <c r="O53">
        <f t="shared" ca="1" si="7"/>
        <v>5.0325610803678089E-2</v>
      </c>
      <c r="Q53" s="1">
        <f t="shared" si="4"/>
        <v>37962.889199999998</v>
      </c>
      <c r="R53" t="s">
        <v>50</v>
      </c>
    </row>
    <row r="54" spans="1:18" x14ac:dyDescent="0.2">
      <c r="A54" s="28" t="s">
        <v>41</v>
      </c>
      <c r="B54" s="29"/>
      <c r="C54" s="30">
        <v>52981.390099999997</v>
      </c>
      <c r="D54" s="30">
        <v>1.1999999999999999E-3</v>
      </c>
      <c r="E54">
        <f t="shared" si="0"/>
        <v>15208.030988528844</v>
      </c>
      <c r="F54">
        <f t="shared" si="1"/>
        <v>15208</v>
      </c>
      <c r="G54">
        <f t="shared" si="5"/>
        <v>4.9835999998322222E-2</v>
      </c>
      <c r="J54">
        <f>+G54</f>
        <v>4.9835999998322222E-2</v>
      </c>
      <c r="O54">
        <f t="shared" ca="1" si="7"/>
        <v>5.0325610803678089E-2</v>
      </c>
      <c r="Q54" s="1">
        <f t="shared" si="4"/>
        <v>37962.890099999997</v>
      </c>
      <c r="R54" t="s">
        <v>52</v>
      </c>
    </row>
    <row r="55" spans="1:18" x14ac:dyDescent="0.2">
      <c r="A55" s="53" t="s">
        <v>181</v>
      </c>
      <c r="B55" s="54" t="s">
        <v>32</v>
      </c>
      <c r="C55" s="53">
        <v>54319.445</v>
      </c>
      <c r="D55" s="53" t="s">
        <v>58</v>
      </c>
      <c r="E55">
        <f t="shared" si="0"/>
        <v>16040.047058589435</v>
      </c>
      <c r="F55">
        <f t="shared" si="1"/>
        <v>16040</v>
      </c>
      <c r="G55">
        <f t="shared" si="5"/>
        <v>7.5680000001739245E-2</v>
      </c>
      <c r="K55">
        <f>+G55</f>
        <v>7.5680000001739245E-2</v>
      </c>
      <c r="O55">
        <f t="shared" ca="1" si="7"/>
        <v>7.7953218799963586E-2</v>
      </c>
      <c r="Q55" s="1">
        <f t="shared" si="4"/>
        <v>39300.945</v>
      </c>
    </row>
    <row r="56" spans="1:18" x14ac:dyDescent="0.2">
      <c r="A56" s="53" t="s">
        <v>181</v>
      </c>
      <c r="B56" s="54" t="s">
        <v>32</v>
      </c>
      <c r="C56" s="53">
        <v>54388.602899999998</v>
      </c>
      <c r="D56" s="53" t="s">
        <v>58</v>
      </c>
      <c r="E56">
        <f t="shared" si="0"/>
        <v>16083.05014028036</v>
      </c>
      <c r="F56">
        <f t="shared" si="1"/>
        <v>16083</v>
      </c>
      <c r="G56">
        <f t="shared" si="5"/>
        <v>8.0635999998776242E-2</v>
      </c>
      <c r="K56">
        <f>+G56</f>
        <v>8.0635999998776242E-2</v>
      </c>
      <c r="O56">
        <f t="shared" ca="1" si="7"/>
        <v>7.9381087963233121E-2</v>
      </c>
      <c r="Q56" s="1">
        <f t="shared" si="4"/>
        <v>39370.102899999998</v>
      </c>
    </row>
    <row r="57" spans="1:18" x14ac:dyDescent="0.2">
      <c r="A57" s="34" t="s">
        <v>42</v>
      </c>
      <c r="B57" s="35" t="s">
        <v>32</v>
      </c>
      <c r="C57" s="30">
        <v>54761.711600000002</v>
      </c>
      <c r="D57" s="30">
        <v>8.0000000000000004E-4</v>
      </c>
      <c r="E57">
        <f t="shared" si="0"/>
        <v>16315.05290360451</v>
      </c>
      <c r="F57">
        <f t="shared" si="1"/>
        <v>16315</v>
      </c>
      <c r="G57">
        <f t="shared" si="5"/>
        <v>8.5079999997105915E-2</v>
      </c>
      <c r="K57">
        <f>+G57</f>
        <v>8.5079999997105915E-2</v>
      </c>
      <c r="O57">
        <f t="shared" ca="1" si="7"/>
        <v>8.7084940192966587E-2</v>
      </c>
      <c r="Q57" s="1">
        <f t="shared" si="4"/>
        <v>39743.211600000002</v>
      </c>
      <c r="R57" t="s">
        <v>50</v>
      </c>
    </row>
    <row r="58" spans="1:18" x14ac:dyDescent="0.2">
      <c r="A58" s="36" t="s">
        <v>45</v>
      </c>
      <c r="B58" s="37" t="s">
        <v>32</v>
      </c>
      <c r="C58" s="36">
        <v>55374.456100000003</v>
      </c>
      <c r="D58" s="36">
        <v>3.5000000000000001E-3</v>
      </c>
      <c r="E58">
        <f t="shared" si="0"/>
        <v>16696.0636310726</v>
      </c>
      <c r="F58">
        <f t="shared" si="1"/>
        <v>16696</v>
      </c>
      <c r="G58">
        <f t="shared" si="5"/>
        <v>0.10233200000220677</v>
      </c>
      <c r="J58">
        <f>+G58</f>
        <v>0.10233200000220677</v>
      </c>
      <c r="O58">
        <f t="shared" ca="1" si="7"/>
        <v>9.9736525104727136E-2</v>
      </c>
      <c r="Q58" s="1">
        <f t="shared" si="4"/>
        <v>40355.956100000003</v>
      </c>
      <c r="R58" t="s">
        <v>52</v>
      </c>
    </row>
    <row r="59" spans="1:18" x14ac:dyDescent="0.2">
      <c r="A59" s="36" t="s">
        <v>46</v>
      </c>
      <c r="B59" s="37" t="s">
        <v>32</v>
      </c>
      <c r="C59" s="36">
        <v>55840.847000000002</v>
      </c>
      <c r="D59" s="36">
        <v>1E-3</v>
      </c>
      <c r="E59">
        <f t="shared" si="0"/>
        <v>16986.070209823603</v>
      </c>
      <c r="F59">
        <f t="shared" si="1"/>
        <v>16986</v>
      </c>
      <c r="G59">
        <f t="shared" si="5"/>
        <v>0.11291200000414392</v>
      </c>
      <c r="K59">
        <f>+G59</f>
        <v>0.11291200000414392</v>
      </c>
      <c r="O59">
        <f t="shared" ca="1" si="7"/>
        <v>0.10936634039189391</v>
      </c>
      <c r="Q59" s="1">
        <f t="shared" si="4"/>
        <v>40822.347000000002</v>
      </c>
      <c r="R59" t="s">
        <v>50</v>
      </c>
    </row>
    <row r="60" spans="1:18" x14ac:dyDescent="0.2">
      <c r="A60" s="53" t="s">
        <v>212</v>
      </c>
      <c r="B60" s="54" t="s">
        <v>32</v>
      </c>
      <c r="C60" s="53">
        <v>55858.533300000003</v>
      </c>
      <c r="D60" s="53" t="s">
        <v>58</v>
      </c>
      <c r="E60">
        <f t="shared" si="0"/>
        <v>16997.06773004487</v>
      </c>
      <c r="F60">
        <f t="shared" si="1"/>
        <v>16997</v>
      </c>
      <c r="G60">
        <f t="shared" si="5"/>
        <v>0.10892400000011548</v>
      </c>
      <c r="K60">
        <f>+G60</f>
        <v>0.10892400000011548</v>
      </c>
      <c r="O60">
        <f t="shared" ca="1" si="7"/>
        <v>0.1097316092476141</v>
      </c>
      <c r="Q60" s="1">
        <f t="shared" si="4"/>
        <v>40840.033300000003</v>
      </c>
    </row>
    <row r="61" spans="1:18" x14ac:dyDescent="0.2">
      <c r="A61" s="39" t="s">
        <v>47</v>
      </c>
      <c r="B61" s="38"/>
      <c r="C61" s="39">
        <v>56955.352299999999</v>
      </c>
      <c r="D61" s="39">
        <v>8.9999999999999998E-4</v>
      </c>
      <c r="E61">
        <f t="shared" si="0"/>
        <v>17679.08087759792</v>
      </c>
      <c r="F61">
        <f t="shared" si="1"/>
        <v>17679</v>
      </c>
      <c r="G61">
        <f t="shared" si="5"/>
        <v>0.13006799999857321</v>
      </c>
      <c r="J61">
        <f>+G61</f>
        <v>0.13006799999857321</v>
      </c>
      <c r="O61">
        <f t="shared" ca="1" si="7"/>
        <v>0.13237827830226151</v>
      </c>
      <c r="Q61" s="1">
        <f t="shared" si="4"/>
        <v>41936.852299999999</v>
      </c>
      <c r="R61" t="s">
        <v>52</v>
      </c>
    </row>
    <row r="62" spans="1:18" x14ac:dyDescent="0.2">
      <c r="B62" s="2"/>
    </row>
    <row r="63" spans="1:18" x14ac:dyDescent="0.2">
      <c r="B63" s="2"/>
    </row>
    <row r="64" spans="1:18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topLeftCell="A7" workbookViewId="0">
      <selection activeCell="A20" sqref="A20:D50"/>
    </sheetView>
  </sheetViews>
  <sheetFormatPr defaultRowHeight="12.75" x14ac:dyDescent="0.2"/>
  <cols>
    <col min="1" max="1" width="19.7109375" style="32" customWidth="1"/>
    <col min="2" max="2" width="4.42578125" style="10" customWidth="1"/>
    <col min="3" max="3" width="12.7109375" style="3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0" t="s">
        <v>48</v>
      </c>
      <c r="I1" s="41" t="s">
        <v>49</v>
      </c>
      <c r="J1" s="42" t="s">
        <v>50</v>
      </c>
    </row>
    <row r="2" spans="1:16" x14ac:dyDescent="0.2">
      <c r="I2" s="43" t="s">
        <v>51</v>
      </c>
      <c r="J2" s="44" t="s">
        <v>52</v>
      </c>
    </row>
    <row r="3" spans="1:16" x14ac:dyDescent="0.2">
      <c r="A3" s="45" t="s">
        <v>53</v>
      </c>
      <c r="I3" s="43" t="s">
        <v>54</v>
      </c>
      <c r="J3" s="44" t="s">
        <v>55</v>
      </c>
    </row>
    <row r="4" spans="1:16" x14ac:dyDescent="0.2">
      <c r="I4" s="43" t="s">
        <v>56</v>
      </c>
      <c r="J4" s="44" t="s">
        <v>55</v>
      </c>
    </row>
    <row r="5" spans="1:16" ht="13.5" thickBot="1" x14ac:dyDescent="0.25">
      <c r="I5" s="46" t="s">
        <v>57</v>
      </c>
      <c r="J5" s="47" t="s">
        <v>58</v>
      </c>
    </row>
    <row r="10" spans="1:16" ht="13.5" thickBot="1" x14ac:dyDescent="0.25"/>
    <row r="11" spans="1:16" ht="12.75" customHeight="1" thickBot="1" x14ac:dyDescent="0.25">
      <c r="A11" s="32" t="str">
        <f t="shared" ref="A11:A50" si="0">P11</f>
        <v>BAVM 117 </v>
      </c>
      <c r="B11" s="2" t="str">
        <f t="shared" ref="B11:B50" si="1">IF(H11=INT(H11),"I","II")</f>
        <v>I</v>
      </c>
      <c r="C11" s="32">
        <f t="shared" ref="C11:C50" si="2">1*G11</f>
        <v>50678.424800000001</v>
      </c>
      <c r="D11" s="10" t="str">
        <f t="shared" ref="D11:D50" si="3">VLOOKUP(F11,I$1:J$5,2,FALSE)</f>
        <v>vis</v>
      </c>
      <c r="E11" s="48">
        <f>VLOOKUP(C11,A!C$21:E$973,3,FALSE)</f>
        <v>13776.0238725339</v>
      </c>
      <c r="F11" s="2" t="s">
        <v>57</v>
      </c>
      <c r="G11" s="10" t="str">
        <f t="shared" ref="G11:G50" si="4">MID(I11,3,LEN(I11)-3)</f>
        <v>50678.4248</v>
      </c>
      <c r="H11" s="32">
        <f t="shared" ref="H11:H50" si="5">1*K11</f>
        <v>13776</v>
      </c>
      <c r="I11" s="49" t="s">
        <v>142</v>
      </c>
      <c r="J11" s="50" t="s">
        <v>143</v>
      </c>
      <c r="K11" s="49">
        <v>13776</v>
      </c>
      <c r="L11" s="49" t="s">
        <v>144</v>
      </c>
      <c r="M11" s="50" t="s">
        <v>138</v>
      </c>
      <c r="N11" s="50" t="s">
        <v>139</v>
      </c>
      <c r="O11" s="51" t="s">
        <v>140</v>
      </c>
      <c r="P11" s="52" t="s">
        <v>145</v>
      </c>
    </row>
    <row r="12" spans="1:16" ht="12.75" customHeight="1" thickBot="1" x14ac:dyDescent="0.25">
      <c r="A12" s="32" t="str">
        <f t="shared" si="0"/>
        <v>IBVS 5224 </v>
      </c>
      <c r="B12" s="2" t="str">
        <f t="shared" si="1"/>
        <v>I</v>
      </c>
      <c r="C12" s="32">
        <f t="shared" si="2"/>
        <v>52133.856500000002</v>
      </c>
      <c r="D12" s="10" t="str">
        <f t="shared" si="3"/>
        <v>vis</v>
      </c>
      <c r="E12" s="48">
        <f>VLOOKUP(C12,A!C$21:E$973,3,FALSE)</f>
        <v>14681.026023996896</v>
      </c>
      <c r="F12" s="2" t="s">
        <v>57</v>
      </c>
      <c r="G12" s="10" t="str">
        <f t="shared" si="4"/>
        <v>52133.8565</v>
      </c>
      <c r="H12" s="32">
        <f t="shared" si="5"/>
        <v>14681</v>
      </c>
      <c r="I12" s="49" t="s">
        <v>146</v>
      </c>
      <c r="J12" s="50" t="s">
        <v>147</v>
      </c>
      <c r="K12" s="49">
        <v>14681</v>
      </c>
      <c r="L12" s="49" t="s">
        <v>148</v>
      </c>
      <c r="M12" s="50" t="s">
        <v>138</v>
      </c>
      <c r="N12" s="50" t="s">
        <v>149</v>
      </c>
      <c r="O12" s="51" t="s">
        <v>150</v>
      </c>
      <c r="P12" s="52" t="s">
        <v>151</v>
      </c>
    </row>
    <row r="13" spans="1:16" ht="12.75" customHeight="1" thickBot="1" x14ac:dyDescent="0.25">
      <c r="A13" s="32" t="str">
        <f t="shared" si="0"/>
        <v>IBVS 5493 </v>
      </c>
      <c r="B13" s="2" t="str">
        <f t="shared" si="1"/>
        <v>I</v>
      </c>
      <c r="C13" s="32">
        <f t="shared" si="2"/>
        <v>52963.700799999999</v>
      </c>
      <c r="D13" s="10" t="str">
        <f t="shared" si="3"/>
        <v>vis</v>
      </c>
      <c r="E13" s="48">
        <f>VLOOKUP(C13,A!C$21:E$973,3,FALSE)</f>
        <v>15197.031602877238</v>
      </c>
      <c r="F13" s="2" t="s">
        <v>57</v>
      </c>
      <c r="G13" s="10" t="str">
        <f t="shared" si="4"/>
        <v>52963.7008</v>
      </c>
      <c r="H13" s="32">
        <f t="shared" si="5"/>
        <v>15197</v>
      </c>
      <c r="I13" s="49" t="s">
        <v>160</v>
      </c>
      <c r="J13" s="50" t="s">
        <v>161</v>
      </c>
      <c r="K13" s="49">
        <v>15197</v>
      </c>
      <c r="L13" s="49" t="s">
        <v>162</v>
      </c>
      <c r="M13" s="50" t="s">
        <v>138</v>
      </c>
      <c r="N13" s="50" t="s">
        <v>149</v>
      </c>
      <c r="O13" s="51" t="s">
        <v>150</v>
      </c>
      <c r="P13" s="52" t="s">
        <v>163</v>
      </c>
    </row>
    <row r="14" spans="1:16" ht="12.75" customHeight="1" thickBot="1" x14ac:dyDescent="0.25">
      <c r="A14" s="32" t="str">
        <f t="shared" si="0"/>
        <v> BBS 130 </v>
      </c>
      <c r="B14" s="2" t="str">
        <f t="shared" si="1"/>
        <v>I</v>
      </c>
      <c r="C14" s="32">
        <f t="shared" si="2"/>
        <v>52981.389199999998</v>
      </c>
      <c r="D14" s="10" t="str">
        <f t="shared" si="3"/>
        <v>vis</v>
      </c>
      <c r="E14" s="48">
        <f>VLOOKUP(C14,A!C$21:E$973,3,FALSE)</f>
        <v>15208.030428899743</v>
      </c>
      <c r="F14" s="2" t="s">
        <v>57</v>
      </c>
      <c r="G14" s="10" t="str">
        <f t="shared" si="4"/>
        <v>52981.3892</v>
      </c>
      <c r="H14" s="32">
        <f t="shared" si="5"/>
        <v>15208</v>
      </c>
      <c r="I14" s="49" t="s">
        <v>164</v>
      </c>
      <c r="J14" s="50" t="s">
        <v>165</v>
      </c>
      <c r="K14" s="49">
        <v>15208</v>
      </c>
      <c r="L14" s="49" t="s">
        <v>166</v>
      </c>
      <c r="M14" s="50" t="s">
        <v>138</v>
      </c>
      <c r="N14" s="50" t="s">
        <v>149</v>
      </c>
      <c r="O14" s="51" t="s">
        <v>167</v>
      </c>
      <c r="P14" s="51" t="s">
        <v>168</v>
      </c>
    </row>
    <row r="15" spans="1:16" ht="12.75" customHeight="1" thickBot="1" x14ac:dyDescent="0.25">
      <c r="A15" s="32" t="str">
        <f t="shared" si="0"/>
        <v>BAVM 172 </v>
      </c>
      <c r="B15" s="2" t="str">
        <f t="shared" si="1"/>
        <v>I</v>
      </c>
      <c r="C15" s="32">
        <f t="shared" si="2"/>
        <v>52981.390099999997</v>
      </c>
      <c r="D15" s="10" t="str">
        <f t="shared" si="3"/>
        <v>vis</v>
      </c>
      <c r="E15" s="48">
        <f>VLOOKUP(C15,A!C$21:E$973,3,FALSE)</f>
        <v>15208.030988528844</v>
      </c>
      <c r="F15" s="2" t="s">
        <v>57</v>
      </c>
      <c r="G15" s="10" t="str">
        <f t="shared" si="4"/>
        <v>52981.3901</v>
      </c>
      <c r="H15" s="32">
        <f t="shared" si="5"/>
        <v>15208</v>
      </c>
      <c r="I15" s="49" t="s">
        <v>169</v>
      </c>
      <c r="J15" s="50" t="s">
        <v>170</v>
      </c>
      <c r="K15" s="49">
        <v>15208</v>
      </c>
      <c r="L15" s="49" t="s">
        <v>171</v>
      </c>
      <c r="M15" s="50" t="s">
        <v>138</v>
      </c>
      <c r="N15" s="50" t="s">
        <v>172</v>
      </c>
      <c r="O15" s="51" t="s">
        <v>173</v>
      </c>
      <c r="P15" s="52" t="s">
        <v>174</v>
      </c>
    </row>
    <row r="16" spans="1:16" ht="12.75" customHeight="1" thickBot="1" x14ac:dyDescent="0.25">
      <c r="A16" s="32" t="str">
        <f t="shared" si="0"/>
        <v>IBVS 5871 </v>
      </c>
      <c r="B16" s="2" t="str">
        <f t="shared" si="1"/>
        <v>I</v>
      </c>
      <c r="C16" s="32">
        <f t="shared" si="2"/>
        <v>54761.711600000002</v>
      </c>
      <c r="D16" s="10" t="str">
        <f t="shared" si="3"/>
        <v>vis</v>
      </c>
      <c r="E16" s="48">
        <f>VLOOKUP(C16,A!C$21:E$973,3,FALSE)</f>
        <v>16315.05290360451</v>
      </c>
      <c r="F16" s="2" t="s">
        <v>57</v>
      </c>
      <c r="G16" s="10" t="str">
        <f t="shared" si="4"/>
        <v>54761.7116</v>
      </c>
      <c r="H16" s="32">
        <f t="shared" si="5"/>
        <v>16315</v>
      </c>
      <c r="I16" s="49" t="s">
        <v>186</v>
      </c>
      <c r="J16" s="50" t="s">
        <v>187</v>
      </c>
      <c r="K16" s="49" t="s">
        <v>188</v>
      </c>
      <c r="L16" s="49" t="s">
        <v>189</v>
      </c>
      <c r="M16" s="50" t="s">
        <v>179</v>
      </c>
      <c r="N16" s="50" t="s">
        <v>57</v>
      </c>
      <c r="O16" s="51" t="s">
        <v>155</v>
      </c>
      <c r="P16" s="52" t="s">
        <v>190</v>
      </c>
    </row>
    <row r="17" spans="1:16" ht="12.75" customHeight="1" thickBot="1" x14ac:dyDescent="0.25">
      <c r="A17" s="32" t="str">
        <f t="shared" si="0"/>
        <v>BAVM 214 </v>
      </c>
      <c r="B17" s="2" t="str">
        <f t="shared" si="1"/>
        <v>I</v>
      </c>
      <c r="C17" s="32">
        <f t="shared" si="2"/>
        <v>55374.456100000003</v>
      </c>
      <c r="D17" s="10" t="str">
        <f t="shared" si="3"/>
        <v>vis</v>
      </c>
      <c r="E17" s="48">
        <f>VLOOKUP(C17,A!C$21:E$973,3,FALSE)</f>
        <v>16696.0636310726</v>
      </c>
      <c r="F17" s="2" t="s">
        <v>57</v>
      </c>
      <c r="G17" s="10" t="str">
        <f t="shared" si="4"/>
        <v>55374.4561</v>
      </c>
      <c r="H17" s="32">
        <f t="shared" si="5"/>
        <v>16696</v>
      </c>
      <c r="I17" s="49" t="s">
        <v>191</v>
      </c>
      <c r="J17" s="50" t="s">
        <v>192</v>
      </c>
      <c r="K17" s="49" t="s">
        <v>193</v>
      </c>
      <c r="L17" s="49" t="s">
        <v>194</v>
      </c>
      <c r="M17" s="50" t="s">
        <v>179</v>
      </c>
      <c r="N17" s="50" t="s">
        <v>172</v>
      </c>
      <c r="O17" s="51" t="s">
        <v>180</v>
      </c>
      <c r="P17" s="52" t="s">
        <v>195</v>
      </c>
    </row>
    <row r="18" spans="1:16" ht="12.75" customHeight="1" thickBot="1" x14ac:dyDescent="0.25">
      <c r="A18" s="32" t="str">
        <f t="shared" si="0"/>
        <v>IBVS 6011 </v>
      </c>
      <c r="B18" s="2" t="str">
        <f t="shared" si="1"/>
        <v>I</v>
      </c>
      <c r="C18" s="32">
        <f t="shared" si="2"/>
        <v>55840.847000000002</v>
      </c>
      <c r="D18" s="10" t="str">
        <f t="shared" si="3"/>
        <v>vis</v>
      </c>
      <c r="E18" s="48">
        <f>VLOOKUP(C18,A!C$21:E$973,3,FALSE)</f>
        <v>16986.070209823603</v>
      </c>
      <c r="F18" s="2" t="s">
        <v>57</v>
      </c>
      <c r="G18" s="10" t="str">
        <f t="shared" si="4"/>
        <v>55840.8470</v>
      </c>
      <c r="H18" s="32">
        <f t="shared" si="5"/>
        <v>16986</v>
      </c>
      <c r="I18" s="49" t="s">
        <v>196</v>
      </c>
      <c r="J18" s="50" t="s">
        <v>197</v>
      </c>
      <c r="K18" s="49" t="s">
        <v>198</v>
      </c>
      <c r="L18" s="49" t="s">
        <v>199</v>
      </c>
      <c r="M18" s="50" t="s">
        <v>179</v>
      </c>
      <c r="N18" s="50" t="s">
        <v>57</v>
      </c>
      <c r="O18" s="51" t="s">
        <v>155</v>
      </c>
      <c r="P18" s="52" t="s">
        <v>200</v>
      </c>
    </row>
    <row r="19" spans="1:16" ht="12.75" customHeight="1" thickBot="1" x14ac:dyDescent="0.25">
      <c r="A19" s="32" t="str">
        <f t="shared" si="0"/>
        <v>BAVM 239 </v>
      </c>
      <c r="B19" s="2" t="str">
        <f t="shared" si="1"/>
        <v>I</v>
      </c>
      <c r="C19" s="32">
        <f t="shared" si="2"/>
        <v>56955.352299999999</v>
      </c>
      <c r="D19" s="10" t="str">
        <f t="shared" si="3"/>
        <v>vis</v>
      </c>
      <c r="E19" s="48">
        <f>VLOOKUP(C19,A!C$21:E$973,3,FALSE)</f>
        <v>17679.08087759792</v>
      </c>
      <c r="F19" s="2" t="s">
        <v>57</v>
      </c>
      <c r="G19" s="10" t="str">
        <f t="shared" si="4"/>
        <v>56955.3523</v>
      </c>
      <c r="H19" s="32">
        <f t="shared" si="5"/>
        <v>17679</v>
      </c>
      <c r="I19" s="49" t="s">
        <v>206</v>
      </c>
      <c r="J19" s="50" t="s">
        <v>207</v>
      </c>
      <c r="K19" s="49" t="s">
        <v>208</v>
      </c>
      <c r="L19" s="49" t="s">
        <v>209</v>
      </c>
      <c r="M19" s="50" t="s">
        <v>179</v>
      </c>
      <c r="N19" s="50" t="s">
        <v>172</v>
      </c>
      <c r="O19" s="51" t="s">
        <v>180</v>
      </c>
      <c r="P19" s="52" t="s">
        <v>210</v>
      </c>
    </row>
    <row r="20" spans="1:16" ht="12.75" customHeight="1" thickBot="1" x14ac:dyDescent="0.25">
      <c r="A20" s="32" t="str">
        <f t="shared" si="0"/>
        <v>IBVS 360 </v>
      </c>
      <c r="B20" s="2" t="str">
        <f t="shared" si="1"/>
        <v>I</v>
      </c>
      <c r="C20" s="32">
        <f t="shared" si="2"/>
        <v>28523.692999999999</v>
      </c>
      <c r="D20" s="10" t="str">
        <f t="shared" si="3"/>
        <v>vis</v>
      </c>
      <c r="E20" s="48">
        <f>VLOOKUP(C20,A!C$21:E$973,3,FALSE)</f>
        <v>-1.2436202282563298E-2</v>
      </c>
      <c r="F20" s="2" t="s">
        <v>57</v>
      </c>
      <c r="G20" s="10" t="str">
        <f t="shared" si="4"/>
        <v>28523.693</v>
      </c>
      <c r="H20" s="32">
        <f t="shared" si="5"/>
        <v>0</v>
      </c>
      <c r="I20" s="49" t="s">
        <v>59</v>
      </c>
      <c r="J20" s="50" t="s">
        <v>60</v>
      </c>
      <c r="K20" s="49">
        <v>0</v>
      </c>
      <c r="L20" s="49" t="s">
        <v>61</v>
      </c>
      <c r="M20" s="50" t="s">
        <v>62</v>
      </c>
      <c r="N20" s="50"/>
      <c r="O20" s="51" t="s">
        <v>63</v>
      </c>
      <c r="P20" s="52" t="s">
        <v>64</v>
      </c>
    </row>
    <row r="21" spans="1:16" ht="12.75" customHeight="1" thickBot="1" x14ac:dyDescent="0.25">
      <c r="A21" s="32" t="str">
        <f t="shared" si="0"/>
        <v>IBVS 360 </v>
      </c>
      <c r="B21" s="2" t="str">
        <f t="shared" si="1"/>
        <v>I</v>
      </c>
      <c r="C21" s="32">
        <f t="shared" si="2"/>
        <v>28951.513999999999</v>
      </c>
      <c r="D21" s="10" t="str">
        <f t="shared" si="3"/>
        <v>vis</v>
      </c>
      <c r="E21" s="48">
        <f>VLOOKUP(C21,A!C$21:E$973,3,FALSE)</f>
        <v>266.01098862833629</v>
      </c>
      <c r="F21" s="2" t="s">
        <v>57</v>
      </c>
      <c r="G21" s="10" t="str">
        <f t="shared" si="4"/>
        <v>28951.514</v>
      </c>
      <c r="H21" s="32">
        <f t="shared" si="5"/>
        <v>266</v>
      </c>
      <c r="I21" s="49" t="s">
        <v>65</v>
      </c>
      <c r="J21" s="50" t="s">
        <v>66</v>
      </c>
      <c r="K21" s="49">
        <v>266</v>
      </c>
      <c r="L21" s="49" t="s">
        <v>67</v>
      </c>
      <c r="M21" s="50" t="s">
        <v>62</v>
      </c>
      <c r="N21" s="50"/>
      <c r="O21" s="51" t="s">
        <v>63</v>
      </c>
      <c r="P21" s="52" t="s">
        <v>64</v>
      </c>
    </row>
    <row r="22" spans="1:16" ht="12.75" customHeight="1" thickBot="1" x14ac:dyDescent="0.25">
      <c r="A22" s="32" t="str">
        <f t="shared" si="0"/>
        <v>IBVS 360 </v>
      </c>
      <c r="B22" s="2" t="str">
        <f t="shared" si="1"/>
        <v>I</v>
      </c>
      <c r="C22" s="32">
        <f t="shared" si="2"/>
        <v>29231.368999999999</v>
      </c>
      <c r="D22" s="10" t="str">
        <f t="shared" si="3"/>
        <v>vis</v>
      </c>
      <c r="E22" s="48">
        <f>VLOOKUP(C22,A!C$21:E$973,3,FALSE)</f>
        <v>440.02765811387519</v>
      </c>
      <c r="F22" s="2" t="s">
        <v>57</v>
      </c>
      <c r="G22" s="10" t="str">
        <f t="shared" si="4"/>
        <v>29231.369</v>
      </c>
      <c r="H22" s="32">
        <f t="shared" si="5"/>
        <v>440</v>
      </c>
      <c r="I22" s="49" t="s">
        <v>68</v>
      </c>
      <c r="J22" s="50" t="s">
        <v>69</v>
      </c>
      <c r="K22" s="49">
        <v>440</v>
      </c>
      <c r="L22" s="49" t="s">
        <v>70</v>
      </c>
      <c r="M22" s="50" t="s">
        <v>62</v>
      </c>
      <c r="N22" s="50"/>
      <c r="O22" s="51" t="s">
        <v>63</v>
      </c>
      <c r="P22" s="52" t="s">
        <v>64</v>
      </c>
    </row>
    <row r="23" spans="1:16" ht="12.75" customHeight="1" thickBot="1" x14ac:dyDescent="0.25">
      <c r="A23" s="32" t="str">
        <f t="shared" si="0"/>
        <v>IBVS 360 </v>
      </c>
      <c r="B23" s="2" t="str">
        <f t="shared" si="1"/>
        <v>I</v>
      </c>
      <c r="C23" s="32">
        <f t="shared" si="2"/>
        <v>29374.465</v>
      </c>
      <c r="D23" s="10" t="str">
        <f t="shared" si="3"/>
        <v>vis</v>
      </c>
      <c r="E23" s="48">
        <f>VLOOKUP(C23,A!C$21:E$973,3,FALSE)</f>
        <v>529.00619820321776</v>
      </c>
      <c r="F23" s="2" t="s">
        <v>57</v>
      </c>
      <c r="G23" s="10" t="str">
        <f t="shared" si="4"/>
        <v>29374.465</v>
      </c>
      <c r="H23" s="32">
        <f t="shared" si="5"/>
        <v>529</v>
      </c>
      <c r="I23" s="49" t="s">
        <v>71</v>
      </c>
      <c r="J23" s="50" t="s">
        <v>72</v>
      </c>
      <c r="K23" s="49">
        <v>529</v>
      </c>
      <c r="L23" s="49" t="s">
        <v>73</v>
      </c>
      <c r="M23" s="50" t="s">
        <v>62</v>
      </c>
      <c r="N23" s="50"/>
      <c r="O23" s="51" t="s">
        <v>63</v>
      </c>
      <c r="P23" s="52" t="s">
        <v>64</v>
      </c>
    </row>
    <row r="24" spans="1:16" ht="12.75" customHeight="1" thickBot="1" x14ac:dyDescent="0.25">
      <c r="A24" s="32" t="str">
        <f t="shared" si="0"/>
        <v>IBVS 360 </v>
      </c>
      <c r="B24" s="2" t="str">
        <f t="shared" si="1"/>
        <v>I</v>
      </c>
      <c r="C24" s="32">
        <f t="shared" si="2"/>
        <v>30704.41</v>
      </c>
      <c r="D24" s="10" t="str">
        <f t="shared" si="3"/>
        <v>vis</v>
      </c>
      <c r="E24" s="48">
        <f>VLOOKUP(C24,A!C$21:E$973,3,FALSE)</f>
        <v>1355.9794504193487</v>
      </c>
      <c r="F24" s="2" t="s">
        <v>57</v>
      </c>
      <c r="G24" s="10" t="str">
        <f t="shared" si="4"/>
        <v>30704.410</v>
      </c>
      <c r="H24" s="32">
        <f t="shared" si="5"/>
        <v>1356</v>
      </c>
      <c r="I24" s="49" t="s">
        <v>74</v>
      </c>
      <c r="J24" s="50" t="s">
        <v>75</v>
      </c>
      <c r="K24" s="49">
        <v>1356</v>
      </c>
      <c r="L24" s="49" t="s">
        <v>76</v>
      </c>
      <c r="M24" s="50" t="s">
        <v>62</v>
      </c>
      <c r="N24" s="50"/>
      <c r="O24" s="51" t="s">
        <v>63</v>
      </c>
      <c r="P24" s="52" t="s">
        <v>64</v>
      </c>
    </row>
    <row r="25" spans="1:16" ht="12.75" customHeight="1" thickBot="1" x14ac:dyDescent="0.25">
      <c r="A25" s="32" t="str">
        <f t="shared" si="0"/>
        <v>IBVS 360 </v>
      </c>
      <c r="B25" s="2" t="str">
        <f t="shared" si="1"/>
        <v>I</v>
      </c>
      <c r="C25" s="32">
        <f t="shared" si="2"/>
        <v>30791.319</v>
      </c>
      <c r="D25" s="10" t="str">
        <f t="shared" si="3"/>
        <v>vis</v>
      </c>
      <c r="E25" s="48">
        <f>VLOOKUP(C25,A!C$21:E$973,3,FALSE)</f>
        <v>1410.0203456269337</v>
      </c>
      <c r="F25" s="2" t="s">
        <v>57</v>
      </c>
      <c r="G25" s="10" t="str">
        <f t="shared" si="4"/>
        <v>30791.319</v>
      </c>
      <c r="H25" s="32">
        <f t="shared" si="5"/>
        <v>1410</v>
      </c>
      <c r="I25" s="49" t="s">
        <v>77</v>
      </c>
      <c r="J25" s="50" t="s">
        <v>78</v>
      </c>
      <c r="K25" s="49">
        <v>1410</v>
      </c>
      <c r="L25" s="49" t="s">
        <v>79</v>
      </c>
      <c r="M25" s="50" t="s">
        <v>62</v>
      </c>
      <c r="N25" s="50"/>
      <c r="O25" s="51" t="s">
        <v>63</v>
      </c>
      <c r="P25" s="52" t="s">
        <v>64</v>
      </c>
    </row>
    <row r="26" spans="1:16" ht="12.75" customHeight="1" thickBot="1" x14ac:dyDescent="0.25">
      <c r="A26" s="32" t="str">
        <f t="shared" si="0"/>
        <v>IBVS 360 </v>
      </c>
      <c r="B26" s="2" t="str">
        <f t="shared" si="1"/>
        <v>I</v>
      </c>
      <c r="C26" s="32">
        <f t="shared" si="2"/>
        <v>34797.330999999998</v>
      </c>
      <c r="D26" s="10" t="str">
        <f t="shared" si="3"/>
        <v>vis</v>
      </c>
      <c r="E26" s="48">
        <f>VLOOKUP(C26,A!C$21:E$973,3,FALSE)</f>
        <v>3900.9991244913581</v>
      </c>
      <c r="F26" s="2" t="s">
        <v>57</v>
      </c>
      <c r="G26" s="10" t="str">
        <f t="shared" si="4"/>
        <v>34797.331</v>
      </c>
      <c r="H26" s="32">
        <f t="shared" si="5"/>
        <v>3901</v>
      </c>
      <c r="I26" s="49" t="s">
        <v>80</v>
      </c>
      <c r="J26" s="50" t="s">
        <v>81</v>
      </c>
      <c r="K26" s="49">
        <v>3901</v>
      </c>
      <c r="L26" s="49" t="s">
        <v>82</v>
      </c>
      <c r="M26" s="50" t="s">
        <v>62</v>
      </c>
      <c r="N26" s="50"/>
      <c r="O26" s="51" t="s">
        <v>63</v>
      </c>
      <c r="P26" s="52" t="s">
        <v>64</v>
      </c>
    </row>
    <row r="27" spans="1:16" ht="12.75" customHeight="1" thickBot="1" x14ac:dyDescent="0.25">
      <c r="A27" s="32" t="str">
        <f t="shared" si="0"/>
        <v>IBVS 360 </v>
      </c>
      <c r="B27" s="2" t="str">
        <f t="shared" si="1"/>
        <v>I</v>
      </c>
      <c r="C27" s="32">
        <f t="shared" si="2"/>
        <v>35371.461000000003</v>
      </c>
      <c r="D27" s="10" t="str">
        <f t="shared" si="3"/>
        <v>vis</v>
      </c>
      <c r="E27" s="48">
        <f>VLOOKUP(C27,A!C$21:E$973,3,FALSE)</f>
        <v>4257.998965307972</v>
      </c>
      <c r="F27" s="2" t="s">
        <v>57</v>
      </c>
      <c r="G27" s="10" t="str">
        <f t="shared" si="4"/>
        <v>35371.461</v>
      </c>
      <c r="H27" s="32">
        <f t="shared" si="5"/>
        <v>4258</v>
      </c>
      <c r="I27" s="49" t="s">
        <v>83</v>
      </c>
      <c r="J27" s="50" t="s">
        <v>84</v>
      </c>
      <c r="K27" s="49">
        <v>4258</v>
      </c>
      <c r="L27" s="49" t="s">
        <v>85</v>
      </c>
      <c r="M27" s="50" t="s">
        <v>62</v>
      </c>
      <c r="N27" s="50"/>
      <c r="O27" s="51" t="s">
        <v>63</v>
      </c>
      <c r="P27" s="52" t="s">
        <v>64</v>
      </c>
    </row>
    <row r="28" spans="1:16" ht="12.75" customHeight="1" thickBot="1" x14ac:dyDescent="0.25">
      <c r="A28" s="32" t="str">
        <f t="shared" si="0"/>
        <v>IBVS 360 </v>
      </c>
      <c r="B28" s="2" t="str">
        <f t="shared" si="1"/>
        <v>I</v>
      </c>
      <c r="C28" s="32">
        <f t="shared" si="2"/>
        <v>35400.421000000002</v>
      </c>
      <c r="D28" s="10" t="str">
        <f t="shared" si="3"/>
        <v>vis</v>
      </c>
      <c r="E28" s="48">
        <f>VLOOKUP(C28,A!C$21:E$973,3,FALSE)</f>
        <v>4276.0065862127303</v>
      </c>
      <c r="F28" s="2" t="s">
        <v>57</v>
      </c>
      <c r="G28" s="10" t="str">
        <f t="shared" si="4"/>
        <v>35400.421</v>
      </c>
      <c r="H28" s="32">
        <f t="shared" si="5"/>
        <v>4276</v>
      </c>
      <c r="I28" s="49" t="s">
        <v>86</v>
      </c>
      <c r="J28" s="50" t="s">
        <v>87</v>
      </c>
      <c r="K28" s="49">
        <v>4276</v>
      </c>
      <c r="L28" s="49" t="s">
        <v>88</v>
      </c>
      <c r="M28" s="50" t="s">
        <v>62</v>
      </c>
      <c r="N28" s="50"/>
      <c r="O28" s="51" t="s">
        <v>63</v>
      </c>
      <c r="P28" s="52" t="s">
        <v>64</v>
      </c>
    </row>
    <row r="29" spans="1:16" ht="12.75" customHeight="1" thickBot="1" x14ac:dyDescent="0.25">
      <c r="A29" s="32" t="str">
        <f t="shared" si="0"/>
        <v>IBVS 360 </v>
      </c>
      <c r="B29" s="2" t="str">
        <f t="shared" si="1"/>
        <v>I</v>
      </c>
      <c r="C29" s="32">
        <f t="shared" si="2"/>
        <v>36656.413999999997</v>
      </c>
      <c r="D29" s="10" t="str">
        <f t="shared" si="3"/>
        <v>vis</v>
      </c>
      <c r="E29" s="48">
        <f>VLOOKUP(C29,A!C$21:E$973,3,FALSE)</f>
        <v>5056.995736869856</v>
      </c>
      <c r="F29" s="2" t="s">
        <v>57</v>
      </c>
      <c r="G29" s="10" t="str">
        <f t="shared" si="4"/>
        <v>36656.414</v>
      </c>
      <c r="H29" s="32">
        <f t="shared" si="5"/>
        <v>5057</v>
      </c>
      <c r="I29" s="49" t="s">
        <v>89</v>
      </c>
      <c r="J29" s="50" t="s">
        <v>90</v>
      </c>
      <c r="K29" s="49">
        <v>5057</v>
      </c>
      <c r="L29" s="49" t="s">
        <v>91</v>
      </c>
      <c r="M29" s="50" t="s">
        <v>62</v>
      </c>
      <c r="N29" s="50"/>
      <c r="O29" s="51" t="s">
        <v>63</v>
      </c>
      <c r="P29" s="52" t="s">
        <v>64</v>
      </c>
    </row>
    <row r="30" spans="1:16" ht="12.75" customHeight="1" thickBot="1" x14ac:dyDescent="0.25">
      <c r="A30" s="32" t="str">
        <f t="shared" si="0"/>
        <v>IBVS 360 </v>
      </c>
      <c r="B30" s="2" t="str">
        <f t="shared" si="1"/>
        <v>I</v>
      </c>
      <c r="C30" s="32">
        <f t="shared" si="2"/>
        <v>36783.553</v>
      </c>
      <c r="D30" s="10" t="str">
        <f t="shared" si="3"/>
        <v>vis</v>
      </c>
      <c r="E30" s="48">
        <f>VLOOKUP(C30,A!C$21:E$973,3,FALSE)</f>
        <v>5136.0520529682726</v>
      </c>
      <c r="F30" s="2" t="s">
        <v>57</v>
      </c>
      <c r="G30" s="10" t="str">
        <f t="shared" si="4"/>
        <v>36783.553</v>
      </c>
      <c r="H30" s="32">
        <f t="shared" si="5"/>
        <v>5136</v>
      </c>
      <c r="I30" s="49" t="s">
        <v>92</v>
      </c>
      <c r="J30" s="50" t="s">
        <v>93</v>
      </c>
      <c r="K30" s="49">
        <v>5136</v>
      </c>
      <c r="L30" s="49" t="s">
        <v>94</v>
      </c>
      <c r="M30" s="50" t="s">
        <v>62</v>
      </c>
      <c r="N30" s="50"/>
      <c r="O30" s="51" t="s">
        <v>95</v>
      </c>
      <c r="P30" s="52" t="s">
        <v>64</v>
      </c>
    </row>
    <row r="31" spans="1:16" ht="12.75" customHeight="1" thickBot="1" x14ac:dyDescent="0.25">
      <c r="A31" s="32" t="str">
        <f t="shared" si="0"/>
        <v>IBVS 360 </v>
      </c>
      <c r="B31" s="2" t="str">
        <f t="shared" si="1"/>
        <v>I</v>
      </c>
      <c r="C31" s="32">
        <f t="shared" si="2"/>
        <v>38044.284</v>
      </c>
      <c r="D31" s="10" t="str">
        <f t="shared" si="3"/>
        <v>vis</v>
      </c>
      <c r="E31" s="48">
        <f>VLOOKUP(C31,A!C$21:E$973,3,FALSE)</f>
        <v>5919.9873399460766</v>
      </c>
      <c r="F31" s="2" t="s">
        <v>57</v>
      </c>
      <c r="G31" s="10" t="str">
        <f t="shared" si="4"/>
        <v>38044.284</v>
      </c>
      <c r="H31" s="32">
        <f t="shared" si="5"/>
        <v>5920</v>
      </c>
      <c r="I31" s="49" t="s">
        <v>96</v>
      </c>
      <c r="J31" s="50" t="s">
        <v>97</v>
      </c>
      <c r="K31" s="49">
        <v>5920</v>
      </c>
      <c r="L31" s="49" t="s">
        <v>61</v>
      </c>
      <c r="M31" s="50" t="s">
        <v>62</v>
      </c>
      <c r="N31" s="50"/>
      <c r="O31" s="51" t="s">
        <v>63</v>
      </c>
      <c r="P31" s="52" t="s">
        <v>64</v>
      </c>
    </row>
    <row r="32" spans="1:16" ht="12.75" customHeight="1" thickBot="1" x14ac:dyDescent="0.25">
      <c r="A32" s="32" t="str">
        <f t="shared" si="0"/>
        <v>IBVS 360 </v>
      </c>
      <c r="B32" s="2" t="str">
        <f t="shared" si="1"/>
        <v>I</v>
      </c>
      <c r="C32" s="32">
        <f t="shared" si="2"/>
        <v>38322.534</v>
      </c>
      <c r="D32" s="10" t="str">
        <f t="shared" si="3"/>
        <v>vis</v>
      </c>
      <c r="E32" s="48">
        <f>VLOOKUP(C32,A!C$21:E$973,3,FALSE)</f>
        <v>6093.0060041984616</v>
      </c>
      <c r="F32" s="2" t="s">
        <v>57</v>
      </c>
      <c r="G32" s="10" t="str">
        <f t="shared" si="4"/>
        <v>38322.534</v>
      </c>
      <c r="H32" s="32">
        <f t="shared" si="5"/>
        <v>6093</v>
      </c>
      <c r="I32" s="49" t="s">
        <v>98</v>
      </c>
      <c r="J32" s="50" t="s">
        <v>99</v>
      </c>
      <c r="K32" s="49">
        <v>6093</v>
      </c>
      <c r="L32" s="49" t="s">
        <v>73</v>
      </c>
      <c r="M32" s="50" t="s">
        <v>62</v>
      </c>
      <c r="N32" s="50"/>
      <c r="O32" s="51" t="s">
        <v>63</v>
      </c>
      <c r="P32" s="52" t="s">
        <v>64</v>
      </c>
    </row>
    <row r="33" spans="1:16" ht="12.75" customHeight="1" thickBot="1" x14ac:dyDescent="0.25">
      <c r="A33" s="32" t="str">
        <f t="shared" si="0"/>
        <v>IBVS 360 </v>
      </c>
      <c r="B33" s="2" t="str">
        <f t="shared" si="1"/>
        <v>I</v>
      </c>
      <c r="C33" s="32">
        <f t="shared" si="2"/>
        <v>38343.432000000001</v>
      </c>
      <c r="D33" s="10" t="str">
        <f t="shared" si="3"/>
        <v>vis</v>
      </c>
      <c r="E33" s="48">
        <f>VLOOKUP(C33,A!C$21:E$973,3,FALSE)</f>
        <v>6106.0005919632285</v>
      </c>
      <c r="F33" s="2" t="s">
        <v>57</v>
      </c>
      <c r="G33" s="10" t="str">
        <f t="shared" si="4"/>
        <v>38343.432</v>
      </c>
      <c r="H33" s="32">
        <f t="shared" si="5"/>
        <v>6106</v>
      </c>
      <c r="I33" s="49" t="s">
        <v>100</v>
      </c>
      <c r="J33" s="50" t="s">
        <v>101</v>
      </c>
      <c r="K33" s="49">
        <v>6106</v>
      </c>
      <c r="L33" s="49" t="s">
        <v>102</v>
      </c>
      <c r="M33" s="50" t="s">
        <v>62</v>
      </c>
      <c r="N33" s="50"/>
      <c r="O33" s="51" t="s">
        <v>63</v>
      </c>
      <c r="P33" s="52" t="s">
        <v>64</v>
      </c>
    </row>
    <row r="34" spans="1:16" ht="12.75" customHeight="1" thickBot="1" x14ac:dyDescent="0.25">
      <c r="A34" s="32" t="str">
        <f t="shared" si="0"/>
        <v>IBVS 360 </v>
      </c>
      <c r="B34" s="2" t="str">
        <f t="shared" si="1"/>
        <v>I</v>
      </c>
      <c r="C34" s="32">
        <f t="shared" si="2"/>
        <v>38936.455000000002</v>
      </c>
      <c r="D34" s="10" t="str">
        <f t="shared" si="3"/>
        <v>vis</v>
      </c>
      <c r="E34" s="48">
        <f>VLOOKUP(C34,A!C$21:E$973,3,FALSE)</f>
        <v>6474.748291265807</v>
      </c>
      <c r="F34" s="2" t="s">
        <v>57</v>
      </c>
      <c r="G34" s="10" t="str">
        <f t="shared" si="4"/>
        <v>38936.455</v>
      </c>
      <c r="H34" s="32">
        <f t="shared" si="5"/>
        <v>6475</v>
      </c>
      <c r="I34" s="49" t="s">
        <v>103</v>
      </c>
      <c r="J34" s="50" t="s">
        <v>104</v>
      </c>
      <c r="K34" s="49">
        <v>6475</v>
      </c>
      <c r="L34" s="49" t="s">
        <v>105</v>
      </c>
      <c r="M34" s="50" t="s">
        <v>62</v>
      </c>
      <c r="N34" s="50"/>
      <c r="O34" s="51" t="s">
        <v>95</v>
      </c>
      <c r="P34" s="52" t="s">
        <v>64</v>
      </c>
    </row>
    <row r="35" spans="1:16" ht="12.75" customHeight="1" thickBot="1" x14ac:dyDescent="0.25">
      <c r="A35" s="32" t="str">
        <f t="shared" si="0"/>
        <v>IBVS 360 </v>
      </c>
      <c r="B35" s="2" t="str">
        <f t="shared" si="1"/>
        <v>I</v>
      </c>
      <c r="C35" s="32">
        <f t="shared" si="2"/>
        <v>39123.43</v>
      </c>
      <c r="D35" s="10" t="str">
        <f t="shared" si="3"/>
        <v>vis</v>
      </c>
      <c r="E35" s="48">
        <f>VLOOKUP(C35,A!C$21:E$973,3,FALSE)</f>
        <v>6591.0112373523825</v>
      </c>
      <c r="F35" s="2" t="s">
        <v>57</v>
      </c>
      <c r="G35" s="10" t="str">
        <f t="shared" si="4"/>
        <v>39123.430</v>
      </c>
      <c r="H35" s="32">
        <f t="shared" si="5"/>
        <v>6591</v>
      </c>
      <c r="I35" s="49" t="s">
        <v>106</v>
      </c>
      <c r="J35" s="50" t="s">
        <v>107</v>
      </c>
      <c r="K35" s="49">
        <v>6591</v>
      </c>
      <c r="L35" s="49" t="s">
        <v>67</v>
      </c>
      <c r="M35" s="50" t="s">
        <v>62</v>
      </c>
      <c r="N35" s="50"/>
      <c r="O35" s="51" t="s">
        <v>95</v>
      </c>
      <c r="P35" s="52" t="s">
        <v>64</v>
      </c>
    </row>
    <row r="36" spans="1:16" ht="12.75" customHeight="1" thickBot="1" x14ac:dyDescent="0.25">
      <c r="A36" s="32" t="str">
        <f t="shared" si="0"/>
        <v>IBVS 360 </v>
      </c>
      <c r="B36" s="2" t="str">
        <f t="shared" si="1"/>
        <v>I</v>
      </c>
      <c r="C36" s="32">
        <f t="shared" si="2"/>
        <v>39136.264999999999</v>
      </c>
      <c r="D36" s="10" t="str">
        <f t="shared" si="3"/>
        <v>vis</v>
      </c>
      <c r="E36" s="48">
        <f>VLOOKUP(C36,A!C$21:E$973,3,FALSE)</f>
        <v>6598.9921701670428</v>
      </c>
      <c r="F36" s="2" t="s">
        <v>57</v>
      </c>
      <c r="G36" s="10" t="str">
        <f t="shared" si="4"/>
        <v>39136.265</v>
      </c>
      <c r="H36" s="32">
        <f t="shared" si="5"/>
        <v>6599</v>
      </c>
      <c r="I36" s="49" t="s">
        <v>108</v>
      </c>
      <c r="J36" s="50" t="s">
        <v>109</v>
      </c>
      <c r="K36" s="49">
        <v>6599</v>
      </c>
      <c r="L36" s="49" t="s">
        <v>110</v>
      </c>
      <c r="M36" s="50" t="s">
        <v>62</v>
      </c>
      <c r="N36" s="50"/>
      <c r="O36" s="51" t="s">
        <v>63</v>
      </c>
      <c r="P36" s="52" t="s">
        <v>64</v>
      </c>
    </row>
    <row r="37" spans="1:16" ht="12.75" customHeight="1" thickBot="1" x14ac:dyDescent="0.25">
      <c r="A37" s="32" t="str">
        <f t="shared" si="0"/>
        <v>IBVS 360 </v>
      </c>
      <c r="B37" s="2" t="str">
        <f t="shared" si="1"/>
        <v>I</v>
      </c>
      <c r="C37" s="32">
        <f t="shared" si="2"/>
        <v>39210.324000000001</v>
      </c>
      <c r="D37" s="10" t="str">
        <f t="shared" si="3"/>
        <v>vis</v>
      </c>
      <c r="E37" s="48">
        <f>VLOOKUP(C37,A!C$21:E$973,3,FALSE)</f>
        <v>6645.0428054082558</v>
      </c>
      <c r="F37" s="2" t="s">
        <v>57</v>
      </c>
      <c r="G37" s="10" t="str">
        <f t="shared" si="4"/>
        <v>39210.324</v>
      </c>
      <c r="H37" s="32">
        <f t="shared" si="5"/>
        <v>6645</v>
      </c>
      <c r="I37" s="49" t="s">
        <v>111</v>
      </c>
      <c r="J37" s="50" t="s">
        <v>112</v>
      </c>
      <c r="K37" s="49">
        <v>6645</v>
      </c>
      <c r="L37" s="49" t="s">
        <v>113</v>
      </c>
      <c r="M37" s="50" t="s">
        <v>62</v>
      </c>
      <c r="N37" s="50"/>
      <c r="O37" s="51" t="s">
        <v>95</v>
      </c>
      <c r="P37" s="52" t="s">
        <v>64</v>
      </c>
    </row>
    <row r="38" spans="1:16" ht="12.75" customHeight="1" thickBot="1" x14ac:dyDescent="0.25">
      <c r="A38" s="32" t="str">
        <f t="shared" si="0"/>
        <v>IBVS 360 </v>
      </c>
      <c r="B38" s="2" t="str">
        <f t="shared" si="1"/>
        <v>I</v>
      </c>
      <c r="C38" s="32">
        <f t="shared" si="2"/>
        <v>39353.482000000004</v>
      </c>
      <c r="D38" s="10" t="str">
        <f t="shared" si="3"/>
        <v>vis</v>
      </c>
      <c r="E38" s="48">
        <f>VLOOKUP(C38,A!C$21:E$973,3,FALSE)</f>
        <v>6734.0598977246746</v>
      </c>
      <c r="F38" s="2" t="s">
        <v>57</v>
      </c>
      <c r="G38" s="10" t="str">
        <f t="shared" si="4"/>
        <v>39353.482</v>
      </c>
      <c r="H38" s="32">
        <f t="shared" si="5"/>
        <v>6734</v>
      </c>
      <c r="I38" s="49" t="s">
        <v>114</v>
      </c>
      <c r="J38" s="50" t="s">
        <v>115</v>
      </c>
      <c r="K38" s="49">
        <v>6734</v>
      </c>
      <c r="L38" s="49" t="s">
        <v>116</v>
      </c>
      <c r="M38" s="50" t="s">
        <v>62</v>
      </c>
      <c r="N38" s="50"/>
      <c r="O38" s="51" t="s">
        <v>95</v>
      </c>
      <c r="P38" s="52" t="s">
        <v>64</v>
      </c>
    </row>
    <row r="39" spans="1:16" ht="12.75" customHeight="1" thickBot="1" x14ac:dyDescent="0.25">
      <c r="A39" s="32" t="str">
        <f t="shared" si="0"/>
        <v>IBVS 360 </v>
      </c>
      <c r="B39" s="2" t="str">
        <f t="shared" si="1"/>
        <v>I</v>
      </c>
      <c r="C39" s="32">
        <f t="shared" si="2"/>
        <v>39361.457999999999</v>
      </c>
      <c r="D39" s="10" t="str">
        <f t="shared" si="3"/>
        <v>vis</v>
      </c>
      <c r="E39" s="48">
        <f>VLOOKUP(C39,A!C$21:E$973,3,FALSE)</f>
        <v>6739.0194551948498</v>
      </c>
      <c r="F39" s="2" t="s">
        <v>57</v>
      </c>
      <c r="G39" s="10" t="str">
        <f t="shared" si="4"/>
        <v>39361.458</v>
      </c>
      <c r="H39" s="32">
        <f t="shared" si="5"/>
        <v>6739</v>
      </c>
      <c r="I39" s="49" t="s">
        <v>117</v>
      </c>
      <c r="J39" s="50" t="s">
        <v>118</v>
      </c>
      <c r="K39" s="49">
        <v>6739</v>
      </c>
      <c r="L39" s="49" t="s">
        <v>119</v>
      </c>
      <c r="M39" s="50" t="s">
        <v>62</v>
      </c>
      <c r="N39" s="50"/>
      <c r="O39" s="51" t="s">
        <v>95</v>
      </c>
      <c r="P39" s="52" t="s">
        <v>64</v>
      </c>
    </row>
    <row r="40" spans="1:16" ht="12.75" customHeight="1" thickBot="1" x14ac:dyDescent="0.25">
      <c r="A40" s="32" t="str">
        <f t="shared" si="0"/>
        <v>IBVS 360 </v>
      </c>
      <c r="B40" s="2" t="str">
        <f t="shared" si="1"/>
        <v>I</v>
      </c>
      <c r="C40" s="32">
        <f t="shared" si="2"/>
        <v>39414.459000000003</v>
      </c>
      <c r="D40" s="10" t="str">
        <f t="shared" si="3"/>
        <v>vis</v>
      </c>
      <c r="E40" s="48">
        <f>VLOOKUP(C40,A!C$21:E$973,3,FALSE)</f>
        <v>6771.9760130530394</v>
      </c>
      <c r="F40" s="2" t="s">
        <v>57</v>
      </c>
      <c r="G40" s="10" t="str">
        <f t="shared" si="4"/>
        <v>39414.459</v>
      </c>
      <c r="H40" s="32">
        <f t="shared" si="5"/>
        <v>6772</v>
      </c>
      <c r="I40" s="49" t="s">
        <v>120</v>
      </c>
      <c r="J40" s="50" t="s">
        <v>121</v>
      </c>
      <c r="K40" s="49">
        <v>6772</v>
      </c>
      <c r="L40" s="49" t="s">
        <v>122</v>
      </c>
      <c r="M40" s="50" t="s">
        <v>62</v>
      </c>
      <c r="N40" s="50"/>
      <c r="O40" s="51" t="s">
        <v>63</v>
      </c>
      <c r="P40" s="52" t="s">
        <v>64</v>
      </c>
    </row>
    <row r="41" spans="1:16" ht="12.75" customHeight="1" thickBot="1" x14ac:dyDescent="0.25">
      <c r="A41" s="32" t="str">
        <f t="shared" si="0"/>
        <v>IBVS 360 </v>
      </c>
      <c r="B41" s="2" t="str">
        <f t="shared" si="1"/>
        <v>I</v>
      </c>
      <c r="C41" s="32">
        <f t="shared" si="2"/>
        <v>39443.438999999998</v>
      </c>
      <c r="D41" s="10" t="str">
        <f t="shared" si="3"/>
        <v>vis</v>
      </c>
      <c r="E41" s="48">
        <f>VLOOKUP(C41,A!C$21:E$973,3,FALSE)</f>
        <v>6789.9960701600776</v>
      </c>
      <c r="F41" s="2" t="s">
        <v>57</v>
      </c>
      <c r="G41" s="10" t="str">
        <f t="shared" si="4"/>
        <v>39443.439</v>
      </c>
      <c r="H41" s="32">
        <f t="shared" si="5"/>
        <v>6790</v>
      </c>
      <c r="I41" s="49" t="s">
        <v>123</v>
      </c>
      <c r="J41" s="50" t="s">
        <v>124</v>
      </c>
      <c r="K41" s="49">
        <v>6790</v>
      </c>
      <c r="L41" s="49" t="s">
        <v>125</v>
      </c>
      <c r="M41" s="50" t="s">
        <v>62</v>
      </c>
      <c r="N41" s="50"/>
      <c r="O41" s="51" t="s">
        <v>63</v>
      </c>
      <c r="P41" s="52" t="s">
        <v>64</v>
      </c>
    </row>
    <row r="42" spans="1:16" ht="12.75" customHeight="1" thickBot="1" x14ac:dyDescent="0.25">
      <c r="A42" s="32" t="str">
        <f t="shared" si="0"/>
        <v>IBVS 360 </v>
      </c>
      <c r="B42" s="2" t="str">
        <f t="shared" si="1"/>
        <v>I</v>
      </c>
      <c r="C42" s="32">
        <f t="shared" si="2"/>
        <v>39477.233</v>
      </c>
      <c r="D42" s="10" t="str">
        <f t="shared" si="3"/>
        <v>vis</v>
      </c>
      <c r="E42" s="48">
        <f>VLOOKUP(C42,A!C$21:E$973,3,FALSE)</f>
        <v>6811.0095211564676</v>
      </c>
      <c r="F42" s="2" t="s">
        <v>57</v>
      </c>
      <c r="G42" s="10" t="str">
        <f t="shared" si="4"/>
        <v>39477.233</v>
      </c>
      <c r="H42" s="32">
        <f t="shared" si="5"/>
        <v>6811</v>
      </c>
      <c r="I42" s="49" t="s">
        <v>126</v>
      </c>
      <c r="J42" s="50" t="s">
        <v>127</v>
      </c>
      <c r="K42" s="49">
        <v>6811</v>
      </c>
      <c r="L42" s="49" t="s">
        <v>128</v>
      </c>
      <c r="M42" s="50" t="s">
        <v>62</v>
      </c>
      <c r="N42" s="50"/>
      <c r="O42" s="51" t="s">
        <v>95</v>
      </c>
      <c r="P42" s="52" t="s">
        <v>64</v>
      </c>
    </row>
    <row r="43" spans="1:16" ht="12.75" customHeight="1" thickBot="1" x14ac:dyDescent="0.25">
      <c r="A43" s="32" t="str">
        <f t="shared" si="0"/>
        <v>IBVS 360 </v>
      </c>
      <c r="B43" s="2" t="str">
        <f t="shared" si="1"/>
        <v>I</v>
      </c>
      <c r="C43" s="32">
        <f t="shared" si="2"/>
        <v>39530.334999999999</v>
      </c>
      <c r="D43" s="10" t="str">
        <f t="shared" si="3"/>
        <v>vis</v>
      </c>
      <c r="E43" s="48">
        <f>VLOOKUP(C43,A!C$21:E$973,3,FALSE)</f>
        <v>6844.0288818361796</v>
      </c>
      <c r="F43" s="2" t="s">
        <v>57</v>
      </c>
      <c r="G43" s="10" t="str">
        <f t="shared" si="4"/>
        <v>39530.335</v>
      </c>
      <c r="H43" s="32">
        <f t="shared" si="5"/>
        <v>6844</v>
      </c>
      <c r="I43" s="49" t="s">
        <v>129</v>
      </c>
      <c r="J43" s="50" t="s">
        <v>130</v>
      </c>
      <c r="K43" s="49">
        <v>6844</v>
      </c>
      <c r="L43" s="49" t="s">
        <v>131</v>
      </c>
      <c r="M43" s="50" t="s">
        <v>62</v>
      </c>
      <c r="N43" s="50"/>
      <c r="O43" s="51" t="s">
        <v>95</v>
      </c>
      <c r="P43" s="52" t="s">
        <v>64</v>
      </c>
    </row>
    <row r="44" spans="1:16" ht="12.75" customHeight="1" thickBot="1" x14ac:dyDescent="0.25">
      <c r="A44" s="32" t="str">
        <f t="shared" si="0"/>
        <v>IBVS 360 </v>
      </c>
      <c r="B44" s="2" t="str">
        <f t="shared" si="1"/>
        <v>I</v>
      </c>
      <c r="C44" s="32">
        <f t="shared" si="2"/>
        <v>39792.461000000003</v>
      </c>
      <c r="D44" s="10" t="str">
        <f t="shared" si="3"/>
        <v>vis</v>
      </c>
      <c r="E44" s="48">
        <f>VLOOKUP(C44,A!C$21:E$973,3,FALSE)</f>
        <v>7007.0214798085835</v>
      </c>
      <c r="F44" s="2" t="s">
        <v>57</v>
      </c>
      <c r="G44" s="10" t="str">
        <f t="shared" si="4"/>
        <v>39792.461</v>
      </c>
      <c r="H44" s="32">
        <f t="shared" si="5"/>
        <v>7007</v>
      </c>
      <c r="I44" s="49" t="s">
        <v>132</v>
      </c>
      <c r="J44" s="50" t="s">
        <v>133</v>
      </c>
      <c r="K44" s="49">
        <v>7007</v>
      </c>
      <c r="L44" s="49" t="s">
        <v>134</v>
      </c>
      <c r="M44" s="50" t="s">
        <v>62</v>
      </c>
      <c r="N44" s="50"/>
      <c r="O44" s="51" t="s">
        <v>63</v>
      </c>
      <c r="P44" s="52" t="s">
        <v>64</v>
      </c>
    </row>
    <row r="45" spans="1:16" ht="12.75" customHeight="1" thickBot="1" x14ac:dyDescent="0.25">
      <c r="A45" s="32" t="str">
        <f t="shared" si="0"/>
        <v>BAVM 68 </v>
      </c>
      <c r="B45" s="2" t="str">
        <f t="shared" si="1"/>
        <v>I</v>
      </c>
      <c r="C45" s="32">
        <f t="shared" si="2"/>
        <v>49237.463100000001</v>
      </c>
      <c r="D45" s="10" t="str">
        <f t="shared" si="3"/>
        <v>vis</v>
      </c>
      <c r="E45" s="48">
        <f>VLOOKUP(C45,A!C$21:E$973,3,FALSE)</f>
        <v>12880.019313422144</v>
      </c>
      <c r="F45" s="2" t="s">
        <v>57</v>
      </c>
      <c r="G45" s="10" t="str">
        <f t="shared" si="4"/>
        <v>49237.4631</v>
      </c>
      <c r="H45" s="32">
        <f t="shared" si="5"/>
        <v>12880</v>
      </c>
      <c r="I45" s="49" t="s">
        <v>135</v>
      </c>
      <c r="J45" s="50" t="s">
        <v>136</v>
      </c>
      <c r="K45" s="49">
        <v>12880</v>
      </c>
      <c r="L45" s="49" t="s">
        <v>137</v>
      </c>
      <c r="M45" s="50" t="s">
        <v>138</v>
      </c>
      <c r="N45" s="50" t="s">
        <v>139</v>
      </c>
      <c r="O45" s="51" t="s">
        <v>140</v>
      </c>
      <c r="P45" s="52" t="s">
        <v>141</v>
      </c>
    </row>
    <row r="46" spans="1:16" ht="12.75" customHeight="1" thickBot="1" x14ac:dyDescent="0.25">
      <c r="A46" s="32" t="str">
        <f t="shared" si="0"/>
        <v> BBS 127 </v>
      </c>
      <c r="B46" s="2" t="str">
        <f t="shared" si="1"/>
        <v>I</v>
      </c>
      <c r="C46" s="32">
        <f t="shared" si="2"/>
        <v>52217.485200000003</v>
      </c>
      <c r="D46" s="10" t="str">
        <f t="shared" si="3"/>
        <v>vis</v>
      </c>
      <c r="E46" s="48">
        <f>VLOOKUP(C46,A!C$21:E$973,3,FALSE)</f>
        <v>14733.027195487151</v>
      </c>
      <c r="F46" s="2" t="s">
        <v>57</v>
      </c>
      <c r="G46" s="10" t="str">
        <f t="shared" si="4"/>
        <v>52217.4852</v>
      </c>
      <c r="H46" s="32">
        <f t="shared" si="5"/>
        <v>14733</v>
      </c>
      <c r="I46" s="49" t="s">
        <v>152</v>
      </c>
      <c r="J46" s="50" t="s">
        <v>153</v>
      </c>
      <c r="K46" s="49">
        <v>14733</v>
      </c>
      <c r="L46" s="49" t="s">
        <v>154</v>
      </c>
      <c r="M46" s="50" t="s">
        <v>138</v>
      </c>
      <c r="N46" s="50" t="s">
        <v>149</v>
      </c>
      <c r="O46" s="51" t="s">
        <v>155</v>
      </c>
      <c r="P46" s="51" t="s">
        <v>156</v>
      </c>
    </row>
    <row r="47" spans="1:16" ht="12.75" customHeight="1" thickBot="1" x14ac:dyDescent="0.25">
      <c r="A47" s="32" t="str">
        <f t="shared" si="0"/>
        <v> BBS 127 </v>
      </c>
      <c r="B47" s="2" t="str">
        <f t="shared" si="1"/>
        <v>I</v>
      </c>
      <c r="C47" s="32">
        <f t="shared" si="2"/>
        <v>52296.287600000003</v>
      </c>
      <c r="D47" s="10" t="str">
        <f t="shared" si="3"/>
        <v>vis</v>
      </c>
      <c r="E47" s="48">
        <f>VLOOKUP(C47,A!C$21:E$973,3,FALSE)</f>
        <v>14782.027324823655</v>
      </c>
      <c r="F47" s="2" t="s">
        <v>57</v>
      </c>
      <c r="G47" s="10" t="str">
        <f t="shared" si="4"/>
        <v>52296.2876</v>
      </c>
      <c r="H47" s="32">
        <f t="shared" si="5"/>
        <v>14782</v>
      </c>
      <c r="I47" s="49" t="s">
        <v>157</v>
      </c>
      <c r="J47" s="50" t="s">
        <v>158</v>
      </c>
      <c r="K47" s="49">
        <v>14782</v>
      </c>
      <c r="L47" s="49" t="s">
        <v>159</v>
      </c>
      <c r="M47" s="50" t="s">
        <v>138</v>
      </c>
      <c r="N47" s="50" t="s">
        <v>149</v>
      </c>
      <c r="O47" s="51" t="s">
        <v>155</v>
      </c>
      <c r="P47" s="51" t="s">
        <v>156</v>
      </c>
    </row>
    <row r="48" spans="1:16" ht="12.75" customHeight="1" thickBot="1" x14ac:dyDescent="0.25">
      <c r="A48" s="32" t="str">
        <f t="shared" si="0"/>
        <v>BAVM 193 </v>
      </c>
      <c r="B48" s="2" t="str">
        <f t="shared" si="1"/>
        <v>I</v>
      </c>
      <c r="C48" s="32">
        <f t="shared" si="2"/>
        <v>54319.445</v>
      </c>
      <c r="D48" s="10" t="str">
        <f t="shared" si="3"/>
        <v>vis</v>
      </c>
      <c r="E48" s="48">
        <f>VLOOKUP(C48,A!C$21:E$973,3,FALSE)</f>
        <v>16040.047058589435</v>
      </c>
      <c r="F48" s="2" t="s">
        <v>57</v>
      </c>
      <c r="G48" s="10" t="str">
        <f t="shared" si="4"/>
        <v>54319.4450</v>
      </c>
      <c r="H48" s="32">
        <f t="shared" si="5"/>
        <v>16040</v>
      </c>
      <c r="I48" s="49" t="s">
        <v>175</v>
      </c>
      <c r="J48" s="50" t="s">
        <v>176</v>
      </c>
      <c r="K48" s="49" t="s">
        <v>177</v>
      </c>
      <c r="L48" s="49" t="s">
        <v>178</v>
      </c>
      <c r="M48" s="50" t="s">
        <v>179</v>
      </c>
      <c r="N48" s="50" t="s">
        <v>172</v>
      </c>
      <c r="O48" s="51" t="s">
        <v>180</v>
      </c>
      <c r="P48" s="52" t="s">
        <v>181</v>
      </c>
    </row>
    <row r="49" spans="1:16" ht="12.75" customHeight="1" thickBot="1" x14ac:dyDescent="0.25">
      <c r="A49" s="32" t="str">
        <f t="shared" si="0"/>
        <v>BAVM 193 </v>
      </c>
      <c r="B49" s="2" t="str">
        <f t="shared" si="1"/>
        <v>I</v>
      </c>
      <c r="C49" s="32">
        <f t="shared" si="2"/>
        <v>54388.602899999998</v>
      </c>
      <c r="D49" s="10" t="str">
        <f t="shared" si="3"/>
        <v>vis</v>
      </c>
      <c r="E49" s="48">
        <f>VLOOKUP(C49,A!C$21:E$973,3,FALSE)</f>
        <v>16083.05014028036</v>
      </c>
      <c r="F49" s="2" t="s">
        <v>57</v>
      </c>
      <c r="G49" s="10" t="str">
        <f t="shared" si="4"/>
        <v>54388.6029</v>
      </c>
      <c r="H49" s="32">
        <f t="shared" si="5"/>
        <v>16083</v>
      </c>
      <c r="I49" s="49" t="s">
        <v>182</v>
      </c>
      <c r="J49" s="50" t="s">
        <v>183</v>
      </c>
      <c r="K49" s="49" t="s">
        <v>184</v>
      </c>
      <c r="L49" s="49" t="s">
        <v>185</v>
      </c>
      <c r="M49" s="50" t="s">
        <v>179</v>
      </c>
      <c r="N49" s="50" t="s">
        <v>172</v>
      </c>
      <c r="O49" s="51" t="s">
        <v>180</v>
      </c>
      <c r="P49" s="52" t="s">
        <v>181</v>
      </c>
    </row>
    <row r="50" spans="1:16" ht="12.75" customHeight="1" thickBot="1" x14ac:dyDescent="0.25">
      <c r="A50" s="32" t="str">
        <f t="shared" si="0"/>
        <v>BAVM 225 </v>
      </c>
      <c r="B50" s="2" t="str">
        <f t="shared" si="1"/>
        <v>I</v>
      </c>
      <c r="C50" s="32">
        <f t="shared" si="2"/>
        <v>55858.533300000003</v>
      </c>
      <c r="D50" s="10" t="str">
        <f t="shared" si="3"/>
        <v>vis</v>
      </c>
      <c r="E50" s="48">
        <f>VLOOKUP(C50,A!C$21:E$973,3,FALSE)</f>
        <v>16997.06773004487</v>
      </c>
      <c r="F50" s="2" t="s">
        <v>57</v>
      </c>
      <c r="G50" s="10" t="str">
        <f t="shared" si="4"/>
        <v>55858.5333</v>
      </c>
      <c r="H50" s="32">
        <f t="shared" si="5"/>
        <v>16997</v>
      </c>
      <c r="I50" s="49" t="s">
        <v>201</v>
      </c>
      <c r="J50" s="50" t="s">
        <v>202</v>
      </c>
      <c r="K50" s="49" t="s">
        <v>203</v>
      </c>
      <c r="L50" s="49" t="s">
        <v>204</v>
      </c>
      <c r="M50" s="50" t="s">
        <v>179</v>
      </c>
      <c r="N50" s="50" t="s">
        <v>172</v>
      </c>
      <c r="O50" s="51" t="s">
        <v>180</v>
      </c>
      <c r="P50" s="52" t="s">
        <v>205</v>
      </c>
    </row>
    <row r="51" spans="1:16" x14ac:dyDescent="0.2">
      <c r="B51" s="2"/>
      <c r="F51" s="2"/>
    </row>
    <row r="52" spans="1:16" x14ac:dyDescent="0.2">
      <c r="B52" s="2"/>
      <c r="F52" s="2"/>
    </row>
    <row r="53" spans="1:16" x14ac:dyDescent="0.2">
      <c r="B53" s="2"/>
      <c r="F53" s="2"/>
    </row>
    <row r="54" spans="1:16" x14ac:dyDescent="0.2">
      <c r="B54" s="2"/>
      <c r="F54" s="2"/>
    </row>
    <row r="55" spans="1:16" x14ac:dyDescent="0.2">
      <c r="B55" s="2"/>
      <c r="F55" s="2"/>
    </row>
    <row r="56" spans="1:16" x14ac:dyDescent="0.2">
      <c r="B56" s="2"/>
      <c r="F56" s="2"/>
    </row>
    <row r="57" spans="1:16" x14ac:dyDescent="0.2">
      <c r="B57" s="2"/>
      <c r="F57" s="2"/>
    </row>
    <row r="58" spans="1:16" x14ac:dyDescent="0.2">
      <c r="B58" s="2"/>
      <c r="F58" s="2"/>
    </row>
    <row r="59" spans="1:16" x14ac:dyDescent="0.2">
      <c r="B59" s="2"/>
      <c r="F59" s="2"/>
    </row>
    <row r="60" spans="1:16" x14ac:dyDescent="0.2">
      <c r="B60" s="2"/>
      <c r="F60" s="2"/>
    </row>
    <row r="61" spans="1:16" x14ac:dyDescent="0.2">
      <c r="B61" s="2"/>
      <c r="F61" s="2"/>
    </row>
    <row r="62" spans="1:16" x14ac:dyDescent="0.2">
      <c r="B62" s="2"/>
      <c r="F62" s="2"/>
    </row>
    <row r="63" spans="1:16" x14ac:dyDescent="0.2">
      <c r="B63" s="2"/>
      <c r="F63" s="2"/>
    </row>
    <row r="64" spans="1:1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</sheetData>
  <phoneticPr fontId="6" type="noConversion"/>
  <hyperlinks>
    <hyperlink ref="P20" r:id="rId1" display="http://www.konkoly.hu/cgi-bin/IBVS?360"/>
    <hyperlink ref="P21" r:id="rId2" display="http://www.konkoly.hu/cgi-bin/IBVS?360"/>
    <hyperlink ref="P22" r:id="rId3" display="http://www.konkoly.hu/cgi-bin/IBVS?360"/>
    <hyperlink ref="P23" r:id="rId4" display="http://www.konkoly.hu/cgi-bin/IBVS?360"/>
    <hyperlink ref="P24" r:id="rId5" display="http://www.konkoly.hu/cgi-bin/IBVS?360"/>
    <hyperlink ref="P25" r:id="rId6" display="http://www.konkoly.hu/cgi-bin/IBVS?360"/>
    <hyperlink ref="P26" r:id="rId7" display="http://www.konkoly.hu/cgi-bin/IBVS?360"/>
    <hyperlink ref="P27" r:id="rId8" display="http://www.konkoly.hu/cgi-bin/IBVS?360"/>
    <hyperlink ref="P28" r:id="rId9" display="http://www.konkoly.hu/cgi-bin/IBVS?360"/>
    <hyperlink ref="P29" r:id="rId10" display="http://www.konkoly.hu/cgi-bin/IBVS?360"/>
    <hyperlink ref="P30" r:id="rId11" display="http://www.konkoly.hu/cgi-bin/IBVS?360"/>
    <hyperlink ref="P31" r:id="rId12" display="http://www.konkoly.hu/cgi-bin/IBVS?360"/>
    <hyperlink ref="P32" r:id="rId13" display="http://www.konkoly.hu/cgi-bin/IBVS?360"/>
    <hyperlink ref="P33" r:id="rId14" display="http://www.konkoly.hu/cgi-bin/IBVS?360"/>
    <hyperlink ref="P34" r:id="rId15" display="http://www.konkoly.hu/cgi-bin/IBVS?360"/>
    <hyperlink ref="P35" r:id="rId16" display="http://www.konkoly.hu/cgi-bin/IBVS?360"/>
    <hyperlink ref="P36" r:id="rId17" display="http://www.konkoly.hu/cgi-bin/IBVS?360"/>
    <hyperlink ref="P37" r:id="rId18" display="http://www.konkoly.hu/cgi-bin/IBVS?360"/>
    <hyperlink ref="P38" r:id="rId19" display="http://www.konkoly.hu/cgi-bin/IBVS?360"/>
    <hyperlink ref="P39" r:id="rId20" display="http://www.konkoly.hu/cgi-bin/IBVS?360"/>
    <hyperlink ref="P40" r:id="rId21" display="http://www.konkoly.hu/cgi-bin/IBVS?360"/>
    <hyperlink ref="P41" r:id="rId22" display="http://www.konkoly.hu/cgi-bin/IBVS?360"/>
    <hyperlink ref="P42" r:id="rId23" display="http://www.konkoly.hu/cgi-bin/IBVS?360"/>
    <hyperlink ref="P43" r:id="rId24" display="http://www.konkoly.hu/cgi-bin/IBVS?360"/>
    <hyperlink ref="P44" r:id="rId25" display="http://www.konkoly.hu/cgi-bin/IBVS?360"/>
    <hyperlink ref="P45" r:id="rId26" display="http://www.bav-astro.de/sfs/BAVM_link.php?BAVMnr=68"/>
    <hyperlink ref="P11" r:id="rId27" display="http://www.bav-astro.de/sfs/BAVM_link.php?BAVMnr=117"/>
    <hyperlink ref="P12" r:id="rId28" display="http://www.konkoly.hu/cgi-bin/IBVS?5224"/>
    <hyperlink ref="P13" r:id="rId29" display="http://www.konkoly.hu/cgi-bin/IBVS?5493"/>
    <hyperlink ref="P15" r:id="rId30" display="http://www.bav-astro.de/sfs/BAVM_link.php?BAVMnr=172"/>
    <hyperlink ref="P48" r:id="rId31" display="http://www.bav-astro.de/sfs/BAVM_link.php?BAVMnr=193"/>
    <hyperlink ref="P49" r:id="rId32" display="http://www.bav-astro.de/sfs/BAVM_link.php?BAVMnr=193"/>
    <hyperlink ref="P16" r:id="rId33" display="http://www.konkoly.hu/cgi-bin/IBVS?5871"/>
    <hyperlink ref="P17" r:id="rId34" display="http://www.bav-astro.de/sfs/BAVM_link.php?BAVMnr=214"/>
    <hyperlink ref="P18" r:id="rId35" display="http://www.konkoly.hu/cgi-bin/IBVS?6011"/>
    <hyperlink ref="P50" r:id="rId36" display="http://www.bav-astro.de/sfs/BAVM_link.php?BAVMnr=225"/>
    <hyperlink ref="P19" r:id="rId37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2024-01-19T06:15:13Z</dcterms:modified>
</cp:coreProperties>
</file>