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ADF714F-60AD-454C-8CEF-9671355B3B1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16" i="2" l="1"/>
  <c r="C16" i="2"/>
  <c r="E16" i="2"/>
  <c r="G17" i="2"/>
  <c r="C17" i="2"/>
  <c r="E17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6" i="2"/>
  <c r="D16" i="2"/>
  <c r="B16" i="2"/>
  <c r="A16" i="2"/>
  <c r="H17" i="2"/>
  <c r="D17" i="2"/>
  <c r="B17" i="2"/>
  <c r="A17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27" i="1"/>
  <c r="E27" i="1"/>
  <c r="F27" i="1"/>
  <c r="G27" i="1"/>
  <c r="K27" i="1"/>
  <c r="C9" i="1"/>
  <c r="D9" i="1"/>
  <c r="E25" i="1"/>
  <c r="F25" i="1"/>
  <c r="G25" i="1"/>
  <c r="K25" i="1"/>
  <c r="E26" i="1"/>
  <c r="F26" i="1"/>
  <c r="G26" i="1"/>
  <c r="K26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Q25" i="1"/>
  <c r="Q26" i="1"/>
  <c r="F16" i="1"/>
  <c r="F17" i="1" s="1"/>
  <c r="C17" i="1"/>
  <c r="Q21" i="1"/>
  <c r="Q22" i="1"/>
  <c r="Q23" i="1"/>
  <c r="Q24" i="1"/>
  <c r="C12" i="1"/>
  <c r="C11" i="1"/>
  <c r="O24" i="1" l="1"/>
  <c r="C15" i="1"/>
  <c r="O25" i="1"/>
  <c r="O23" i="1"/>
  <c r="O26" i="1"/>
  <c r="O21" i="1"/>
  <c r="O22" i="1"/>
  <c r="O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<sst xmlns="http://schemas.openxmlformats.org/spreadsheetml/2006/main" count="124" uniqueCount="90">
  <si>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</si>
  <si>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</si>
  <si>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</si>
  <si>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</si>
  <si>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</si>
  <si>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</si>
  <si>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</si>
  <si>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</si>
  <si>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</si>
  <si>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</si>
  <si>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</si>
  <si>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</si>
  <si>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</si>
  <si>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</si>
  <si>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</si>
  <si>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</si>
  <si>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</si>
  <si>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</si>
  <si>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</si>
  <si>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</si>
  <si>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</si>
  <si>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</si>
  <si>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</si>
  <si>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</si>
  <si>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</si>
  <si>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</si>
  <si>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</si>
  <si>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</si>
  <si>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</si>
  <si>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</si>
  <si>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</si>
  <si>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</si>
  <si>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</si>
  <si>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</si>
  <si>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 xml:space="preserve">2006A&amp;A...446..785M </t>
  </si>
  <si>
    <t>IBVS 4887</t>
  </si>
  <si>
    <t>IBVS 5263</t>
  </si>
  <si>
    <t>I</t>
  </si>
  <si>
    <t>IBVS 5741</t>
  </si>
  <si>
    <t>??</t>
  </si>
  <si>
    <t>Start of linear fit &gt;&gt;&gt;&gt;&gt;&gt;&gt;&gt;&gt;&gt;&gt;&gt;&gt;&gt;&gt;&gt;&gt;&gt;&gt;&gt;&gt;</t>
  </si>
  <si>
    <t>Add cycle</t>
  </si>
  <si>
    <t>Old Cycle</t>
  </si>
  <si>
    <t>OEJV 0137</t>
  </si>
  <si>
    <t>IBVS 6042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</si>
  <si>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</si>
  <si>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</si>
  <si>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</si>
  <si>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</si>
  <si>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</si>
  <si>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</si>
  <si>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</si>
  <si>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</si>
  <si>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</si>
  <si>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</si>
  <si>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</si>
  <si>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</si>
  <si>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2450671.5404 </t>
  </si>
  <si>
    <t> 11.08.1997 00:58 </t>
  </si>
  <si>
    <t> 0.0029 </t>
  </si>
  <si>
    <t>E </t>
  </si>
  <si>
    <t>?</t>
  </si>
  <si>
    <t> J.Safar </t>
  </si>
  <si>
    <t>IBVS 4887 </t>
  </si>
  <si>
    <t>2450750.2849 </t>
  </si>
  <si>
    <t> 28.10.1997 18:50 </t>
  </si>
  <si>
    <t> 0.0047 </t>
  </si>
  <si>
    <t>2450773.3254 </t>
  </si>
  <si>
    <t> 20.11.1997 19:48 </t>
  </si>
  <si>
    <t> -0.0015 </t>
  </si>
  <si>
    <t>2451375.4178 </t>
  </si>
  <si>
    <t> 15.07.1999 22:01 </t>
  </si>
  <si>
    <t> -0.0027 </t>
  </si>
  <si>
    <t>IBVS 5263 </t>
  </si>
  <si>
    <t>2453256.6002 </t>
  </si>
  <si>
    <t> 08.09.2004 02:24 </t>
  </si>
  <si>
    <t> M. Zejda et al. </t>
  </si>
  <si>
    <t>IBVS 5741 </t>
  </si>
  <si>
    <t>2455387.4582 </t>
  </si>
  <si>
    <t> 09.07.2010 22:59 </t>
  </si>
  <si>
    <t> 0.0008 </t>
  </si>
  <si>
    <t>C </t>
  </si>
  <si>
    <t> L.Brát </t>
  </si>
  <si>
    <t>OEJV 0137 </t>
  </si>
  <si>
    <t>2456238.7552 </t>
  </si>
  <si>
    <t> 07.11.2012 06:07 </t>
  </si>
  <si>
    <t> 0.0124 </t>
  </si>
  <si>
    <t> R.Diethelm </t>
  </si>
  <si>
    <t>IBVS 6042 </t>
  </si>
  <si>
    <t>V0851 Cas / NSV 14647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</si>
</sst>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3" fillId="0" borderId="0" xfId="7" applyAlignment="1" applyProtection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3" fillId="2" borderId="11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V0851 Cas - O-C Diagr</a:t>
            </a:r>
          </a:p>
        </c:rich>
      </c:tx>
      <c:layout>
        <c:manualLayout>
          <c:xMode val="edge"/>
          <c:yMode val="edge"/>
          <c:x val="0.3715601146187001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14634168126798494"/>
          <c:w val="0.808869709345299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-733</c:v>
                </c:pt>
                <c:pt idx="1">
                  <c:v>-651</c:v>
                </c:pt>
                <c:pt idx="2">
                  <c:v>-627</c:v>
                </c:pt>
                <c:pt idx="3">
                  <c:v>0</c:v>
                </c:pt>
                <c:pt idx="4">
                  <c:v>1959</c:v>
                </c:pt>
                <c:pt idx="5">
                  <c:v>4178</c:v>
                </c:pt>
                <c:pt idx="6">
                  <c:v>5064.5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8-440A-94EE-7913EB5D37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-733</c:v>
                </c:pt>
                <c:pt idx="1">
                  <c:v>-651</c:v>
                </c:pt>
                <c:pt idx="2">
                  <c:v>-627</c:v>
                </c:pt>
                <c:pt idx="3">
                  <c:v>0</c:v>
                </c:pt>
                <c:pt idx="4">
                  <c:v>1959</c:v>
                </c:pt>
                <c:pt idx="5">
                  <c:v>4178</c:v>
                </c:pt>
                <c:pt idx="6">
                  <c:v>5064.5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48-440A-94EE-7913EB5D37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-733</c:v>
                </c:pt>
                <c:pt idx="1">
                  <c:v>-651</c:v>
                </c:pt>
                <c:pt idx="2">
                  <c:v>-627</c:v>
                </c:pt>
                <c:pt idx="3">
                  <c:v>0</c:v>
                </c:pt>
                <c:pt idx="4">
                  <c:v>1959</c:v>
                </c:pt>
                <c:pt idx="5">
                  <c:v>4178</c:v>
                </c:pt>
                <c:pt idx="6">
                  <c:v>5064.5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48-440A-94EE-7913EB5D37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-733</c:v>
                </c:pt>
                <c:pt idx="1">
                  <c:v>-651</c:v>
                </c:pt>
                <c:pt idx="2">
                  <c:v>-627</c:v>
                </c:pt>
                <c:pt idx="3">
                  <c:v>0</c:v>
                </c:pt>
                <c:pt idx="4">
                  <c:v>1959</c:v>
                </c:pt>
                <c:pt idx="5">
                  <c:v>4178</c:v>
                </c:pt>
                <c:pt idx="6">
                  <c:v>5064.5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4.174999994575046E-3</c:v>
                </c:pt>
                <c:pt idx="1">
                  <c:v>6.1249999926076271E-3</c:v>
                </c:pt>
                <c:pt idx="2">
                  <c:v>2.5000001187436283E-5</c:v>
                </c:pt>
                <c:pt idx="3">
                  <c:v>0</c:v>
                </c:pt>
                <c:pt idx="4">
                  <c:v>3.6749999999301508E-3</c:v>
                </c:pt>
                <c:pt idx="5">
                  <c:v>1.1509999996633269E-2</c:v>
                </c:pt>
                <c:pt idx="6">
                  <c:v>2.4662499999976717E-2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48-440A-94EE-7913EB5D37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-733</c:v>
                </c:pt>
                <c:pt idx="1">
                  <c:v>-651</c:v>
                </c:pt>
                <c:pt idx="2">
                  <c:v>-627</c:v>
                </c:pt>
                <c:pt idx="3">
                  <c:v>0</c:v>
                </c:pt>
                <c:pt idx="4">
                  <c:v>1959</c:v>
                </c:pt>
                <c:pt idx="5">
                  <c:v>4178</c:v>
                </c:pt>
                <c:pt idx="6">
                  <c:v>5064.5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48-440A-94EE-7913EB5D37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-733</c:v>
                </c:pt>
                <c:pt idx="1">
                  <c:v>-651</c:v>
                </c:pt>
                <c:pt idx="2">
                  <c:v>-627</c:v>
                </c:pt>
                <c:pt idx="3">
                  <c:v>0</c:v>
                </c:pt>
                <c:pt idx="4">
                  <c:v>1959</c:v>
                </c:pt>
                <c:pt idx="5">
                  <c:v>4178</c:v>
                </c:pt>
                <c:pt idx="6">
                  <c:v>5064.5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48-440A-94EE-7913EB5D37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2.8E-3</c:v>
                  </c:pt>
                  <c:pt idx="1">
                    <c:v>1.4E-3</c:v>
                  </c:pt>
                  <c:pt idx="2">
                    <c:v>2.8E-3</c:v>
                  </c:pt>
                  <c:pt idx="3">
                    <c:v>2.5000000000000001E-3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1.4000000000000001E-4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-733</c:v>
                </c:pt>
                <c:pt idx="1">
                  <c:v>-651</c:v>
                </c:pt>
                <c:pt idx="2">
                  <c:v>-627</c:v>
                </c:pt>
                <c:pt idx="3">
                  <c:v>0</c:v>
                </c:pt>
                <c:pt idx="4">
                  <c:v>1959</c:v>
                </c:pt>
                <c:pt idx="5">
                  <c:v>4178</c:v>
                </c:pt>
                <c:pt idx="6">
                  <c:v>5064.5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48-440A-94EE-7913EB5D37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-733</c:v>
                </c:pt>
                <c:pt idx="1">
                  <c:v>-651</c:v>
                </c:pt>
                <c:pt idx="2">
                  <c:v>-627</c:v>
                </c:pt>
                <c:pt idx="3">
                  <c:v>0</c:v>
                </c:pt>
                <c:pt idx="4">
                  <c:v>1959</c:v>
                </c:pt>
                <c:pt idx="5">
                  <c:v>4178</c:v>
                </c:pt>
                <c:pt idx="6">
                  <c:v>5064.5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1.110789596866522E-3</c:v>
                </c:pt>
                <c:pt idx="1">
                  <c:v>1.3535401306905806E-3</c:v>
                </c:pt>
                <c:pt idx="2">
                  <c:v>1.4245890674195734E-3</c:v>
                </c:pt>
                <c:pt idx="3">
                  <c:v>3.2807425394645101E-3</c:v>
                </c:pt>
                <c:pt idx="4">
                  <c:v>9.0801119999685473E-3</c:v>
                </c:pt>
                <c:pt idx="5">
                  <c:v>1.5649178275036674E-2</c:v>
                </c:pt>
                <c:pt idx="6">
                  <c:v>1.8273548375463845E-2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48-440A-94EE-7913EB5D3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218968"/>
        <c:axId val="1"/>
      </c:scatterChart>
      <c:valAx>
        <c:axId val="715218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5279041954623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5871559633027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218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76484705466862"/>
          <c:y val="0.92073298764483702"/>
          <c:w val="0.63914469406920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57150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F65DD5-EE8D-DA72-233B-6D0FAC22C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imbad.u-strasbg.fr/cgi-bin/cdsbib4?2006A%26A...446..785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4887" TargetMode="External"/><Relationship Id="rId7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5741" TargetMode="External"/><Relationship Id="rId4" Type="http://schemas.openxmlformats.org/officeDocument/2006/relationships/hyperlink" Target="http://www.konkoly.hu/cgi-bin/IBVS?52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89</v>
      </c>
    </row>
    <row r="2" spans="1:6" x14ac:dyDescent="0.2">
      <c r="A2" t="s">
        <v>23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27</v>
      </c>
      <c r="D4" s="9" t="s">
        <v>27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 s="29">
        <v>51375.417800000003</v>
      </c>
      <c r="D7" s="23" t="s">
        <v>34</v>
      </c>
    </row>
    <row r="8" spans="1:6" x14ac:dyDescent="0.2">
      <c r="A8" t="s">
        <v>3</v>
      </c>
      <c r="C8" s="30">
        <v>0.96027499999999999</v>
      </c>
    </row>
    <row r="9" spans="1:6" x14ac:dyDescent="0.2">
      <c r="A9" s="34" t="s">
        <v>40</v>
      </c>
      <c r="B9" s="35">
        <v>21</v>
      </c>
      <c r="C9" s="32" t="str">
        <f>"F"&amp;B9</f>
        <v>F21</v>
      </c>
      <c r="D9" s="33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31">
        <f ca="1">INTERCEPT(INDIRECT($D$9):G992,INDIRECT($C$9):F992)</f>
        <v>3.2807425394645101E-3</v>
      </c>
      <c r="D11" s="3"/>
      <c r="E11" s="12"/>
    </row>
    <row r="12" spans="1:6" x14ac:dyDescent="0.2">
      <c r="A12" s="12" t="s">
        <v>16</v>
      </c>
      <c r="B12" s="12"/>
      <c r="C12" s="31">
        <f ca="1">SLOPE(INDIRECT($D$9):G992,INDIRECT($C$9):F992)</f>
        <v>2.960372363708033E-6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56238.268672068189</v>
      </c>
      <c r="E15" s="16" t="s">
        <v>41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0.96027796037236368</v>
      </c>
      <c r="E16" s="16" t="s">
        <v>31</v>
      </c>
      <c r="F16" s="17">
        <f ca="1">NOW()+15018.5+$C$5/24</f>
        <v>60329.732942708331</v>
      </c>
    </row>
    <row r="17" spans="1:17" ht="13.5" thickBot="1" x14ac:dyDescent="0.25">
      <c r="A17" s="16" t="s">
        <v>28</v>
      </c>
      <c r="B17" s="12"/>
      <c r="C17" s="12">
        <f>COUNT(C21:C2191)</f>
        <v>7</v>
      </c>
      <c r="E17" s="16" t="s">
        <v>42</v>
      </c>
      <c r="F17" s="17">
        <f ca="1">ROUND(2*(F16-$C$7)/$C$8,0)/2+F15</f>
        <v>9325.5</v>
      </c>
    </row>
    <row r="18" spans="1:17" ht="14.25" thickTop="1" thickBot="1" x14ac:dyDescent="0.25">
      <c r="A18" s="18" t="s">
        <v>5</v>
      </c>
      <c r="B18" s="12"/>
      <c r="C18" s="21">
        <f ca="1">+C15</f>
        <v>56238.268672068189</v>
      </c>
      <c r="D18" s="22">
        <f ca="1">+C16</f>
        <v>0.96027796037236368</v>
      </c>
      <c r="E18" s="16" t="s">
        <v>32</v>
      </c>
      <c r="F18" s="33">
        <f ca="1">ROUND(2*(F16-$C$15)/$C$16,0)/2+F15</f>
        <v>4261.5</v>
      </c>
    </row>
    <row r="19" spans="1:17" ht="13.5" thickTop="1" x14ac:dyDescent="0.2">
      <c r="E19" s="16" t="s">
        <v>33</v>
      </c>
      <c r="F19" s="20">
        <f ca="1">+$C$15+$C$16*F18-15018.5-$C$5/24</f>
        <v>45312.38903352835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53</v>
      </c>
      <c r="I20" s="7" t="s">
        <v>56</v>
      </c>
      <c r="J20" s="7" t="s">
        <v>50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24" t="s">
        <v>35</v>
      </c>
      <c r="B21" s="3"/>
      <c r="C21" s="10">
        <v>50671.540399999998</v>
      </c>
      <c r="D21" s="10">
        <v>2.8E-3</v>
      </c>
      <c r="E21">
        <f t="shared" ref="E21:E26" si="0">+(C21-C$7)/C$8</f>
        <v>-732.99565228711037</v>
      </c>
      <c r="F21">
        <f t="shared" ref="F21:F27" si="1">ROUND(2*E21,0)/2</f>
        <v>-733</v>
      </c>
      <c r="G21">
        <f t="shared" ref="G21:G26" si="2">+C21-(C$7+F21*C$8)</f>
        <v>4.174999994575046E-3</v>
      </c>
      <c r="K21">
        <f t="shared" ref="K21:K27" si="3">+G21</f>
        <v>4.174999994575046E-3</v>
      </c>
      <c r="O21">
        <f t="shared" ref="O21:O26" ca="1" si="4">+C$11+C$12*$F21</f>
        <v>1.110789596866522E-3</v>
      </c>
      <c r="Q21" s="2">
        <f t="shared" ref="Q21:Q26" si="5">+C21-15018.5</f>
        <v>35653.040399999998</v>
      </c>
    </row>
    <row r="22" spans="1:17" x14ac:dyDescent="0.2">
      <c r="A22" s="24" t="s">
        <v>35</v>
      </c>
      <c r="B22" s="3"/>
      <c r="C22" s="10">
        <v>50750.284899999999</v>
      </c>
      <c r="D22" s="10">
        <v>1.4E-3</v>
      </c>
      <c r="E22">
        <f t="shared" si="0"/>
        <v>-650.9936216188114</v>
      </c>
      <c r="F22">
        <f t="shared" si="1"/>
        <v>-651</v>
      </c>
      <c r="G22">
        <f t="shared" si="2"/>
        <v>6.1249999926076271E-3</v>
      </c>
      <c r="K22">
        <f t="shared" si="3"/>
        <v>6.1249999926076271E-3</v>
      </c>
      <c r="O22">
        <f t="shared" ca="1" si="4"/>
        <v>1.3535401306905806E-3</v>
      </c>
      <c r="Q22" s="2">
        <f t="shared" si="5"/>
        <v>35731.784899999999</v>
      </c>
    </row>
    <row r="23" spans="1:17" x14ac:dyDescent="0.2">
      <c r="A23" s="24" t="s">
        <v>35</v>
      </c>
      <c r="B23" s="3"/>
      <c r="C23" s="10">
        <v>50773.325400000002</v>
      </c>
      <c r="D23" s="10">
        <v>2.8E-3</v>
      </c>
      <c r="E23">
        <f t="shared" si="0"/>
        <v>-626.99997396579249</v>
      </c>
      <c r="F23">
        <f t="shared" si="1"/>
        <v>-627</v>
      </c>
      <c r="G23">
        <f t="shared" si="2"/>
        <v>2.5000001187436283E-5</v>
      </c>
      <c r="K23">
        <f t="shared" si="3"/>
        <v>2.5000001187436283E-5</v>
      </c>
      <c r="O23">
        <f t="shared" ca="1" si="4"/>
        <v>1.4245890674195734E-3</v>
      </c>
      <c r="Q23" s="2">
        <f t="shared" si="5"/>
        <v>35754.825400000002</v>
      </c>
    </row>
    <row r="24" spans="1:17" x14ac:dyDescent="0.2">
      <c r="A24" s="25" t="s">
        <v>36</v>
      </c>
      <c r="B24" s="26" t="s">
        <v>37</v>
      </c>
      <c r="C24" s="27">
        <v>51375.417800000003</v>
      </c>
      <c r="D24" s="27">
        <v>2.5000000000000001E-3</v>
      </c>
      <c r="E24">
        <f t="shared" si="0"/>
        <v>0</v>
      </c>
      <c r="F24">
        <f t="shared" si="1"/>
        <v>0</v>
      </c>
      <c r="G24">
        <f t="shared" si="2"/>
        <v>0</v>
      </c>
      <c r="K24">
        <f t="shared" si="3"/>
        <v>0</v>
      </c>
      <c r="O24">
        <f t="shared" ca="1" si="4"/>
        <v>3.2807425394645101E-3</v>
      </c>
      <c r="Q24" s="2">
        <f t="shared" si="5"/>
        <v>36356.917800000003</v>
      </c>
    </row>
    <row r="25" spans="1:17" x14ac:dyDescent="0.2">
      <c r="A25" s="25" t="s">
        <v>38</v>
      </c>
      <c r="B25" s="26" t="s">
        <v>37</v>
      </c>
      <c r="C25" s="28">
        <v>53256.600200000001</v>
      </c>
      <c r="D25" s="28">
        <v>2.9999999999999997E-4</v>
      </c>
      <c r="E25">
        <f t="shared" si="0"/>
        <v>1959.0038270287134</v>
      </c>
      <c r="F25">
        <f t="shared" si="1"/>
        <v>1959</v>
      </c>
      <c r="G25">
        <f t="shared" si="2"/>
        <v>3.6749999999301508E-3</v>
      </c>
      <c r="K25">
        <f t="shared" si="3"/>
        <v>3.6749999999301508E-3</v>
      </c>
      <c r="O25">
        <f t="shared" ca="1" si="4"/>
        <v>9.0801119999685473E-3</v>
      </c>
      <c r="Q25" s="2">
        <f t="shared" si="5"/>
        <v>38238.100200000001</v>
      </c>
    </row>
    <row r="26" spans="1:17" x14ac:dyDescent="0.2">
      <c r="A26" s="36" t="s">
        <v>43</v>
      </c>
      <c r="B26" s="37" t="s">
        <v>37</v>
      </c>
      <c r="C26" s="38">
        <v>55387.458259999999</v>
      </c>
      <c r="D26" s="38">
        <v>4.0000000000000002E-4</v>
      </c>
      <c r="E26">
        <f t="shared" si="0"/>
        <v>4178.0119861497969</v>
      </c>
      <c r="F26">
        <f t="shared" si="1"/>
        <v>4178</v>
      </c>
      <c r="G26">
        <f t="shared" si="2"/>
        <v>1.1509999996633269E-2</v>
      </c>
      <c r="K26">
        <f t="shared" si="3"/>
        <v>1.1509999996633269E-2</v>
      </c>
      <c r="O26">
        <f t="shared" ca="1" si="4"/>
        <v>1.5649178275036674E-2</v>
      </c>
      <c r="Q26" s="2">
        <f t="shared" si="5"/>
        <v>40368.958259999999</v>
      </c>
    </row>
    <row r="27" spans="1:17" x14ac:dyDescent="0.2">
      <c r="A27" s="39" t="s">
        <v>44</v>
      </c>
      <c r="B27" s="40" t="s">
        <v>45</v>
      </c>
      <c r="C27" s="41">
        <v>56238.7552</v>
      </c>
      <c r="D27" s="41">
        <v>1.4000000000000001E-4</v>
      </c>
      <c r="E27">
        <f>+(C27-C$7)/C$8</f>
        <v>5064.5256827471267</v>
      </c>
      <c r="F27">
        <f t="shared" si="1"/>
        <v>5064.5</v>
      </c>
      <c r="G27">
        <f>+C27-(C$7+F27*C$8)</f>
        <v>2.4662499999976717E-2</v>
      </c>
      <c r="K27">
        <f t="shared" si="3"/>
        <v>2.4662499999976717E-2</v>
      </c>
      <c r="O27">
        <f ca="1">+C$11+C$12*$F27</f>
        <v>1.8273548375463845E-2</v>
      </c>
      <c r="Q27" s="2">
        <f>+C27-15018.5</f>
        <v>41220.2552</v>
      </c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D7" r:id="rId1" display="http://simbad.u-strasbg.fr/cgi-bin/cdsbib4?2006A%26A...446..785M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0"/>
  <sheetViews>
    <sheetView workbookViewId="0">
      <selection activeCell="A17" sqref="A17:D1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2" t="s">
        <v>46</v>
      </c>
      <c r="I1" s="43" t="s">
        <v>47</v>
      </c>
      <c r="J1" s="44" t="s">
        <v>48</v>
      </c>
    </row>
    <row r="2" spans="1:16" x14ac:dyDescent="0.2">
      <c r="I2" s="45" t="s">
        <v>49</v>
      </c>
      <c r="J2" s="46" t="s">
        <v>50</v>
      </c>
    </row>
    <row r="3" spans="1:16" x14ac:dyDescent="0.2">
      <c r="A3" s="47" t="s">
        <v>51</v>
      </c>
      <c r="I3" s="45" t="s">
        <v>52</v>
      </c>
      <c r="J3" s="46" t="s">
        <v>53</v>
      </c>
    </row>
    <row r="4" spans="1:16" x14ac:dyDescent="0.2">
      <c r="I4" s="45" t="s">
        <v>54</v>
      </c>
      <c r="J4" s="46" t="s">
        <v>53</v>
      </c>
    </row>
    <row r="5" spans="1:16" ht="13.5" thickBot="1" x14ac:dyDescent="0.25">
      <c r="I5" s="48" t="s">
        <v>55</v>
      </c>
      <c r="J5" s="49" t="s">
        <v>56</v>
      </c>
    </row>
    <row r="10" spans="1:16" ht="13.5" thickBot="1" x14ac:dyDescent="0.25"/>
    <row r="11" spans="1:16" ht="12.75" customHeight="1" thickBot="1" x14ac:dyDescent="0.25">
      <c r="A11" s="10" t="str">
        <f t="shared" ref="A11:A17" si="0">P11</f>
        <v>IBVS 4887 </v>
      </c>
      <c r="B11" s="3" t="str">
        <f t="shared" ref="B11:B17" si="1">IF(H11=INT(H11),"I","II")</f>
        <v>I</v>
      </c>
      <c r="C11" s="10">
        <f t="shared" ref="C11:C17" si="2">1*G11</f>
        <v>50671.540399999998</v>
      </c>
      <c r="D11" s="12" t="str">
        <f t="shared" ref="D11:D17" si="3">VLOOKUP(F11,I$1:J$5,2,FALSE)</f>
        <v>vis</v>
      </c>
      <c r="E11" s="50">
        <f>VLOOKUP(C11,Active!C$21:E$973,3,FALSE)</f>
        <v>-732.99565228711037</v>
      </c>
      <c r="F11" s="3" t="s">
        <v>55</v>
      </c>
      <c r="G11" s="12" t="str">
        <f t="shared" ref="G11:G17" si="4">MID(I11,3,LEN(I11)-3)</f>
        <v>50671.5404</v>
      </c>
      <c r="H11" s="10">
        <f t="shared" ref="H11:H17" si="5">1*K11</f>
        <v>-1905</v>
      </c>
      <c r="I11" s="51" t="s">
        <v>57</v>
      </c>
      <c r="J11" s="52" t="s">
        <v>58</v>
      </c>
      <c r="K11" s="51">
        <v>-1905</v>
      </c>
      <c r="L11" s="51" t="s">
        <v>59</v>
      </c>
      <c r="M11" s="52" t="s">
        <v>60</v>
      </c>
      <c r="N11" s="52" t="s">
        <v>61</v>
      </c>
      <c r="O11" s="53" t="s">
        <v>62</v>
      </c>
      <c r="P11" s="54" t="s">
        <v>63</v>
      </c>
    </row>
    <row r="12" spans="1:16" ht="12.75" customHeight="1" thickBot="1" x14ac:dyDescent="0.25">
      <c r="A12" s="10" t="str">
        <f t="shared" si="0"/>
        <v>IBVS 4887 </v>
      </c>
      <c r="B12" s="3" t="str">
        <f t="shared" si="1"/>
        <v>I</v>
      </c>
      <c r="C12" s="10">
        <f t="shared" si="2"/>
        <v>50750.284899999999</v>
      </c>
      <c r="D12" s="12" t="str">
        <f t="shared" si="3"/>
        <v>vis</v>
      </c>
      <c r="E12" s="50">
        <f>VLOOKUP(C12,Active!C$21:E$973,3,FALSE)</f>
        <v>-650.9936216188114</v>
      </c>
      <c r="F12" s="3" t="s">
        <v>55</v>
      </c>
      <c r="G12" s="12" t="str">
        <f t="shared" si="4"/>
        <v>50750.2849</v>
      </c>
      <c r="H12" s="10">
        <f t="shared" si="5"/>
        <v>-1823</v>
      </c>
      <c r="I12" s="51" t="s">
        <v>64</v>
      </c>
      <c r="J12" s="52" t="s">
        <v>65</v>
      </c>
      <c r="K12" s="51">
        <v>-1823</v>
      </c>
      <c r="L12" s="51" t="s">
        <v>66</v>
      </c>
      <c r="M12" s="52" t="s">
        <v>60</v>
      </c>
      <c r="N12" s="52" t="s">
        <v>61</v>
      </c>
      <c r="O12" s="53" t="s">
        <v>62</v>
      </c>
      <c r="P12" s="54" t="s">
        <v>63</v>
      </c>
    </row>
    <row r="13" spans="1:16" ht="12.75" customHeight="1" thickBot="1" x14ac:dyDescent="0.25">
      <c r="A13" s="10" t="str">
        <f t="shared" si="0"/>
        <v>IBVS 4887 </v>
      </c>
      <c r="B13" s="3" t="str">
        <f t="shared" si="1"/>
        <v>I</v>
      </c>
      <c r="C13" s="10">
        <f t="shared" si="2"/>
        <v>50773.325400000002</v>
      </c>
      <c r="D13" s="12" t="str">
        <f t="shared" si="3"/>
        <v>vis</v>
      </c>
      <c r="E13" s="50">
        <f>VLOOKUP(C13,Active!C$21:E$973,3,FALSE)</f>
        <v>-626.99997396579249</v>
      </c>
      <c r="F13" s="3" t="s">
        <v>55</v>
      </c>
      <c r="G13" s="12" t="str">
        <f t="shared" si="4"/>
        <v>50773.3254</v>
      </c>
      <c r="H13" s="10">
        <f t="shared" si="5"/>
        <v>-1799</v>
      </c>
      <c r="I13" s="51" t="s">
        <v>67</v>
      </c>
      <c r="J13" s="52" t="s">
        <v>68</v>
      </c>
      <c r="K13" s="51">
        <v>-1799</v>
      </c>
      <c r="L13" s="51" t="s">
        <v>69</v>
      </c>
      <c r="M13" s="52" t="s">
        <v>60</v>
      </c>
      <c r="N13" s="52" t="s">
        <v>61</v>
      </c>
      <c r="O13" s="53" t="s">
        <v>62</v>
      </c>
      <c r="P13" s="54" t="s">
        <v>63</v>
      </c>
    </row>
    <row r="14" spans="1:16" ht="12.75" customHeight="1" thickBot="1" x14ac:dyDescent="0.25">
      <c r="A14" s="10" t="str">
        <f t="shared" si="0"/>
        <v>IBVS 5263 </v>
      </c>
      <c r="B14" s="3" t="str">
        <f t="shared" si="1"/>
        <v>I</v>
      </c>
      <c r="C14" s="10">
        <f t="shared" si="2"/>
        <v>51375.417800000003</v>
      </c>
      <c r="D14" s="12" t="str">
        <f t="shared" si="3"/>
        <v>vis</v>
      </c>
      <c r="E14" s="50">
        <f>VLOOKUP(C14,Active!C$21:E$973,3,FALSE)</f>
        <v>0</v>
      </c>
      <c r="F14" s="3" t="s">
        <v>55</v>
      </c>
      <c r="G14" s="12" t="str">
        <f t="shared" si="4"/>
        <v>51375.4178</v>
      </c>
      <c r="H14" s="10">
        <f t="shared" si="5"/>
        <v>-1172</v>
      </c>
      <c r="I14" s="51" t="s">
        <v>70</v>
      </c>
      <c r="J14" s="52" t="s">
        <v>71</v>
      </c>
      <c r="K14" s="51">
        <v>-1172</v>
      </c>
      <c r="L14" s="51" t="s">
        <v>72</v>
      </c>
      <c r="M14" s="52" t="s">
        <v>60</v>
      </c>
      <c r="N14" s="52" t="s">
        <v>61</v>
      </c>
      <c r="O14" s="53" t="s">
        <v>62</v>
      </c>
      <c r="P14" s="54" t="s">
        <v>73</v>
      </c>
    </row>
    <row r="15" spans="1:16" ht="12.75" customHeight="1" thickBot="1" x14ac:dyDescent="0.25">
      <c r="A15" s="10" t="str">
        <f t="shared" si="0"/>
        <v>IBVS 5741 </v>
      </c>
      <c r="B15" s="3" t="str">
        <f t="shared" si="1"/>
        <v>I</v>
      </c>
      <c r="C15" s="10">
        <f t="shared" si="2"/>
        <v>53256.600200000001</v>
      </c>
      <c r="D15" s="12" t="str">
        <f t="shared" si="3"/>
        <v>vis</v>
      </c>
      <c r="E15" s="50">
        <f>VLOOKUP(C15,Active!C$21:E$973,3,FALSE)</f>
        <v>1959.0038270287134</v>
      </c>
      <c r="F15" s="3" t="s">
        <v>55</v>
      </c>
      <c r="G15" s="12" t="str">
        <f t="shared" si="4"/>
        <v>53256.6002</v>
      </c>
      <c r="H15" s="10">
        <f t="shared" si="5"/>
        <v>787</v>
      </c>
      <c r="I15" s="51" t="s">
        <v>74</v>
      </c>
      <c r="J15" s="52" t="s">
        <v>75</v>
      </c>
      <c r="K15" s="51">
        <v>787</v>
      </c>
      <c r="L15" s="51" t="s">
        <v>72</v>
      </c>
      <c r="M15" s="52" t="s">
        <v>60</v>
      </c>
      <c r="N15" s="52" t="s">
        <v>61</v>
      </c>
      <c r="O15" s="53" t="s">
        <v>76</v>
      </c>
      <c r="P15" s="54" t="s">
        <v>77</v>
      </c>
    </row>
    <row r="16" spans="1:16" ht="12.75" customHeight="1" thickBot="1" x14ac:dyDescent="0.25">
      <c r="A16" s="10" t="str">
        <f t="shared" si="0"/>
        <v>IBVS 6042 </v>
      </c>
      <c r="B16" s="3" t="str">
        <f t="shared" si="1"/>
        <v>II</v>
      </c>
      <c r="C16" s="10">
        <f t="shared" si="2"/>
        <v>56238.7552</v>
      </c>
      <c r="D16" s="12" t="str">
        <f t="shared" si="3"/>
        <v>vis</v>
      </c>
      <c r="E16" s="50">
        <f>VLOOKUP(C16,Active!C$21:E$973,3,FALSE)</f>
        <v>5064.5256827471267</v>
      </c>
      <c r="F16" s="3" t="s">
        <v>55</v>
      </c>
      <c r="G16" s="12" t="str">
        <f t="shared" si="4"/>
        <v>56238.7552</v>
      </c>
      <c r="H16" s="10">
        <f t="shared" si="5"/>
        <v>3892.5</v>
      </c>
      <c r="I16" s="51" t="s">
        <v>84</v>
      </c>
      <c r="J16" s="52" t="s">
        <v>85</v>
      </c>
      <c r="K16" s="51">
        <v>3892.5</v>
      </c>
      <c r="L16" s="51" t="s">
        <v>86</v>
      </c>
      <c r="M16" s="52" t="s">
        <v>81</v>
      </c>
      <c r="N16" s="52" t="s">
        <v>55</v>
      </c>
      <c r="O16" s="53" t="s">
        <v>87</v>
      </c>
      <c r="P16" s="54" t="s">
        <v>88</v>
      </c>
    </row>
    <row r="17" spans="1:16" ht="12.75" customHeight="1" thickBot="1" x14ac:dyDescent="0.25">
      <c r="A17" s="10" t="str">
        <f t="shared" si="0"/>
        <v>OEJV 0137 </v>
      </c>
      <c r="B17" s="3" t="str">
        <f t="shared" si="1"/>
        <v>I</v>
      </c>
      <c r="C17" s="10">
        <f t="shared" si="2"/>
        <v>55387.458200000001</v>
      </c>
      <c r="D17" s="12" t="str">
        <f t="shared" si="3"/>
        <v>vis</v>
      </c>
      <c r="E17" s="50" t="e">
        <f>VLOOKUP(C17,Active!C$21:E$973,3,FALSE)</f>
        <v>#N/A</v>
      </c>
      <c r="F17" s="3" t="s">
        <v>55</v>
      </c>
      <c r="G17" s="12" t="str">
        <f t="shared" si="4"/>
        <v>55387.4582</v>
      </c>
      <c r="H17" s="10">
        <f t="shared" si="5"/>
        <v>3006</v>
      </c>
      <c r="I17" s="51" t="s">
        <v>78</v>
      </c>
      <c r="J17" s="52" t="s">
        <v>79</v>
      </c>
      <c r="K17" s="51">
        <v>3006</v>
      </c>
      <c r="L17" s="51" t="s">
        <v>80</v>
      </c>
      <c r="M17" s="52" t="s">
        <v>81</v>
      </c>
      <c r="N17" s="52" t="s">
        <v>55</v>
      </c>
      <c r="O17" s="53" t="s">
        <v>82</v>
      </c>
      <c r="P17" s="54" t="s">
        <v>83</v>
      </c>
    </row>
    <row r="18" spans="1:16" x14ac:dyDescent="0.2">
      <c r="B18" s="3"/>
      <c r="F18" s="3"/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</sheetData>
  <phoneticPr fontId="7" type="noConversion"/>
  <hyperlinks>
    <hyperlink ref="P11" r:id="rId1" display="http://www.konkoly.hu/cgi-bin/IBVS?4887"/>
    <hyperlink ref="P12" r:id="rId2" display="http://www.konkoly.hu/cgi-bin/IBVS?4887"/>
    <hyperlink ref="P13" r:id="rId3" display="http://www.konkoly.hu/cgi-bin/IBVS?4887"/>
    <hyperlink ref="P14" r:id="rId4" display="http://www.konkoly.hu/cgi-bin/IBVS?5263"/>
    <hyperlink ref="P15" r:id="rId5" display="http://www.konkoly.hu/cgi-bin/IBVS?5741"/>
    <hyperlink ref="P17" r:id="rId6" display="http://var.astro.cz/oejv/issues/oejv0137.pdf"/>
    <hyperlink ref="P16" r:id="rId7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2024-01-20T04:35:26Z</dcterms:modified>
</cp:coreProperties>
</file>