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33AFDB7-28AC-42FE-9F38-B8E5A478A5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1" i="1"/>
  <c r="F21" i="1"/>
  <c r="G21" i="1"/>
  <c r="I21" i="1"/>
  <c r="E23" i="1"/>
  <c r="F23" i="1"/>
  <c r="G23" i="1"/>
  <c r="K23" i="1"/>
  <c r="E22" i="1"/>
  <c r="F22" i="1"/>
  <c r="G22" i="1"/>
  <c r="J22" i="1"/>
  <c r="D9" i="1"/>
  <c r="C9" i="1"/>
  <c r="Q24" i="1"/>
  <c r="G13" i="2"/>
  <c r="C13" i="2"/>
  <c r="E13" i="2"/>
  <c r="G12" i="2"/>
  <c r="C12" i="2"/>
  <c r="E12" i="2"/>
  <c r="G11" i="2"/>
  <c r="C11" i="2"/>
  <c r="E11" i="2"/>
  <c r="H13" i="2"/>
  <c r="D13" i="2"/>
  <c r="B13" i="2"/>
  <c r="A13" i="2"/>
  <c r="H12" i="2"/>
  <c r="B12" i="2"/>
  <c r="D12" i="2"/>
  <c r="A12" i="2"/>
  <c r="H11" i="2"/>
  <c r="D11" i="2"/>
  <c r="B11" i="2"/>
  <c r="A11" i="2"/>
  <c r="Q22" i="1"/>
  <c r="F16" i="1"/>
  <c r="C17" i="1"/>
  <c r="Q23" i="1"/>
  <c r="Q21" i="1"/>
  <c r="C12" i="1"/>
  <c r="C11" i="1"/>
  <c r="O21" i="1" l="1"/>
  <c r="O22" i="1"/>
  <c r="C15" i="1"/>
  <c r="F18" i="1" s="1"/>
  <c r="O24" i="1"/>
  <c r="O23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<sst xmlns="http://schemas.openxmlformats.org/spreadsheetml/2006/main" count="90" uniqueCount="73">
  <si>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</si>
  <si>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</si>
  <si>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</si>
  <si>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</si>
  <si>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</si>
  <si>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</si>
  <si>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</si>
  <si>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</si>
  <si>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</si>
  <si>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</si>
  <si>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</si>
  <si>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</si>
  <si>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</si>
  <si>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</si>
  <si>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</si>
  <si>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</si>
  <si>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</si>
  <si>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</si>
  <si>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</si>
  <si>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</si>
  <si>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</si>
  <si>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</si>
  <si>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</si>
  <si>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</si>
  <si>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</si>
  <si>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</si>
  <si>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</si>
  <si>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</si>
  <si>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</si>
  <si>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</si>
  <si>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</si>
  <si>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</si>
  <si>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</si>
  <si>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</si>
  <si>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</si>
  <si>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V1004 Cas / GSC 4022-0939</t>
  </si>
  <si>
    <t>EA</t>
  </si>
  <si>
    <t>Add cycle</t>
  </si>
  <si>
    <t>Old Cycle</t>
  </si>
  <si>
    <t>IBVS 5966</t>
  </si>
  <si>
    <t>IBVS 6010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</si>
  <si>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</si>
  <si>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</si>
  <si>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</si>
  <si>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</si>
  <si>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</si>
  <si>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</si>
  <si>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</si>
  <si>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</si>
  <si>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</si>
  <si>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</si>
  <si>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</si>
  <si>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</si>
  <si>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2455223.3990 </t>
  </si>
  <si>
    <t> 26.01.2010 21:34 </t>
  </si>
  <si>
    <t> 0.0810 </t>
  </si>
  <si>
    <t>C </t>
  </si>
  <si>
    <t>-I</t>
  </si>
  <si>
    <t> K.&amp; M.Rätz </t>
  </si>
  <si>
    <t>BAVM 220 </t>
  </si>
  <si>
    <t>2455485.779 </t>
  </si>
  <si>
    <t> 16.10.2010 06:41 </t>
  </si>
  <si>
    <t>3475</t>
  </si>
  <si>
    <t> 0.090 </t>
  </si>
  <si>
    <t> R.Nelson </t>
  </si>
  <si>
    <t>IBVS 5966 </t>
  </si>
  <si>
    <t>2455851.5674 </t>
  </si>
  <si>
    <t> 17.10.2011 01:37 </t>
  </si>
  <si>
    <t>3784.5</t>
  </si>
  <si>
    <t> 0.0961 </t>
  </si>
  <si>
    <t>-U;-I</t>
  </si>
  <si>
    <t>BAVM 225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</si>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</sst>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V1004 Cas - O-C Diagr.</a:t>
            </a:r>
          </a:p>
        </c:rich>
      </c:tx>
      <c:layout>
        <c:manualLayout>
          <c:xMode val="edge"/>
          <c:yMode val="edge"/>
          <c:x val="0.3669172932330827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201183431952663"/>
          <c:w val="0.82406015037593983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B-44D1-8528-B69621C75E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B-44D1-8528-B69621C75E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8.0949999995937105E-2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B-44D1-8528-B69621C75E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9.0250000001105946E-2</c:v>
                </c:pt>
                <c:pt idx="3">
                  <c:v>9.6074999994016252E-2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B-44D1-8528-B69621C75E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B-44D1-8528-B69621C75E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B-44D1-8528-B69621C75E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B-44D1-8528-B69621C75E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3253</c:v>
                </c:pt>
                <c:pt idx="2">
                  <c:v>3475</c:v>
                </c:pt>
                <c:pt idx="3">
                  <c:v>3784.5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-9.7020561074245837E-5</c:v>
                </c:pt>
                <c:pt idx="1">
                  <c:v>8.2728949142765365E-2</c:v>
                </c:pt>
                <c:pt idx="2">
                  <c:v>8.8381382365714148E-2</c:v>
                </c:pt>
                <c:pt idx="3">
                  <c:v>9.6261689043654008E-2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B-44D1-8528-B69621C75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231560"/>
        <c:axId val="1"/>
      </c:scatterChart>
      <c:valAx>
        <c:axId val="82923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23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07692307692313"/>
          <c:w val="0.62857142857142856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9525</xdr:rowOff>
    </xdr:from>
    <xdr:to>
      <xdr:col>17</xdr:col>
      <xdr:colOff>142875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ADF1F8-4158-2EFD-3BCE-E265B1E27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966" TargetMode="External"/><Relationship Id="rId1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t="s">
        <v>36</v>
      </c>
      <c r="C2" s="3"/>
      <c r="D2" s="3"/>
    </row>
    <row r="4" spans="1:6">
      <c r="A4" s="5" t="s">
        <v>0</v>
      </c>
      <c r="C4" s="26">
        <v>51378.76</v>
      </c>
      <c r="D4" s="26">
        <v>1.1818500000000001</v>
      </c>
    </row>
    <row r="5" spans="1:6">
      <c r="A5" s="9" t="s">
        <v>29</v>
      </c>
      <c r="B5" s="10"/>
      <c r="C5" s="11">
        <v>-9.5</v>
      </c>
      <c r="D5" s="10" t="s">
        <v>30</v>
      </c>
    </row>
    <row r="6" spans="1:6">
      <c r="A6" s="5" t="s">
        <v>1</v>
      </c>
    </row>
    <row r="7" spans="1:6">
      <c r="A7" t="s">
        <v>2</v>
      </c>
      <c r="C7">
        <v>51378.76</v>
      </c>
    </row>
    <row r="8" spans="1:6">
      <c r="A8" t="s">
        <v>3</v>
      </c>
      <c r="C8">
        <v>1.1818500000000001</v>
      </c>
    </row>
    <row r="9" spans="1:6">
      <c r="A9" s="24" t="s">
        <v>34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0"/>
      <c r="B10" s="10"/>
      <c r="C10" s="4" t="s">
        <v>20</v>
      </c>
      <c r="D10" s="4" t="s">
        <v>21</v>
      </c>
      <c r="E10" s="10"/>
    </row>
    <row r="11" spans="1:6">
      <c r="A11" s="10" t="s">
        <v>16</v>
      </c>
      <c r="B11" s="10"/>
      <c r="C11" s="21">
        <f ca="1">INTERCEPT(INDIRECT($D$9):G992,INDIRECT($C$9):F992)</f>
        <v>-9.7020561074245837E-5</v>
      </c>
      <c r="D11" s="3"/>
      <c r="E11" s="10"/>
    </row>
    <row r="12" spans="1:6">
      <c r="A12" s="10" t="s">
        <v>17</v>
      </c>
      <c r="B12" s="10"/>
      <c r="C12" s="21">
        <f ca="1">SLOPE(INDIRECT($D$9):G992,INDIRECT($C$9):F992)</f>
        <v>2.5461410914183711E-5</v>
      </c>
      <c r="D12" s="3"/>
      <c r="E12" s="10"/>
    </row>
    <row r="13" spans="1:6">
      <c r="A13" s="10" t="s">
        <v>19</v>
      </c>
      <c r="B13" s="10"/>
      <c r="C13" s="3" t="s">
        <v>14</v>
      </c>
    </row>
    <row r="14" spans="1:6">
      <c r="A14" s="10"/>
      <c r="B14" s="10"/>
      <c r="C14" s="10"/>
    </row>
    <row r="15" spans="1:6">
      <c r="A15" s="12" t="s">
        <v>18</v>
      </c>
      <c r="B15" s="10"/>
      <c r="C15" s="13">
        <f ca="1">(C7+C11)+(C8+C12)*INT(MAX(F21:F3533))</f>
        <v>55850.976648958342</v>
      </c>
      <c r="E15" s="14" t="s">
        <v>37</v>
      </c>
      <c r="F15" s="11">
        <v>1</v>
      </c>
    </row>
    <row r="16" spans="1:6">
      <c r="A16" s="16" t="s">
        <v>4</v>
      </c>
      <c r="B16" s="10"/>
      <c r="C16" s="17">
        <f ca="1">+C8+C12</f>
        <v>1.1818754614109142</v>
      </c>
      <c r="E16" s="14" t="s">
        <v>31</v>
      </c>
      <c r="F16" s="15">
        <f ca="1">NOW()+15018.5+$C$5/24</f>
        <v>60329.739966203699</v>
      </c>
    </row>
    <row r="17" spans="1:18" ht="13.5" thickBot="1">
      <c r="A17" s="14" t="s">
        <v>28</v>
      </c>
      <c r="B17" s="10"/>
      <c r="C17" s="10">
        <f>COUNT(C21:C2191)</f>
        <v>4</v>
      </c>
      <c r="E17" s="14" t="s">
        <v>38</v>
      </c>
      <c r="F17" s="15">
        <f ca="1">ROUND(2*(F16-$C$7)/$C$8,0)/2+F15</f>
        <v>7574.5</v>
      </c>
    </row>
    <row r="18" spans="1:18" ht="14.25" thickTop="1" thickBot="1">
      <c r="A18" s="16" t="s">
        <v>5</v>
      </c>
      <c r="B18" s="10"/>
      <c r="C18" s="19">
        <f ca="1">+C15</f>
        <v>55850.976648958342</v>
      </c>
      <c r="D18" s="20">
        <f ca="1">+C16</f>
        <v>1.1818754614109142</v>
      </c>
      <c r="E18" s="14" t="s">
        <v>32</v>
      </c>
      <c r="F18" s="23">
        <f ca="1">ROUND(2*(F16-$C$15)/$C$16,0)/2+F15</f>
        <v>3790.5</v>
      </c>
    </row>
    <row r="19" spans="1:18" ht="13.5" thickTop="1">
      <c r="E19" s="14" t="s">
        <v>33</v>
      </c>
      <c r="F19" s="18">
        <f ca="1">+$C$15+$C$16*F18-15018.5-$C$5/24</f>
        <v>45312.771418769749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C21" s="8">
        <v>51378.76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-9.7020561074245837E-5</v>
      </c>
      <c r="Q21" s="2">
        <f>+C21-15018.5</f>
        <v>36360.26</v>
      </c>
    </row>
    <row r="22" spans="1:18">
      <c r="A22" s="27" t="s">
        <v>40</v>
      </c>
      <c r="B22" s="28" t="s">
        <v>41</v>
      </c>
      <c r="C22" s="27">
        <v>55223.398999999998</v>
      </c>
      <c r="D22" s="27">
        <v>5.0000000000000001E-4</v>
      </c>
      <c r="E22">
        <f>+(C22-C$7)/C$8</f>
        <v>3253.0684943097644</v>
      </c>
      <c r="F22">
        <f>ROUND(2*E22,0)/2</f>
        <v>3253</v>
      </c>
      <c r="G22">
        <f>+C22-(C$7+F22*C$8)</f>
        <v>8.0949999995937105E-2</v>
      </c>
      <c r="J22">
        <f>+G22</f>
        <v>8.0949999995937105E-2</v>
      </c>
      <c r="O22">
        <f ca="1">+C$11+C$12*$F22</f>
        <v>8.2728949142765365E-2</v>
      </c>
      <c r="Q22" s="2">
        <f>+C22-15018.5</f>
        <v>40204.898999999998</v>
      </c>
      <c r="R22" t="s">
        <v>46</v>
      </c>
    </row>
    <row r="23" spans="1:18">
      <c r="A23" s="5" t="s">
        <v>39</v>
      </c>
      <c r="C23" s="8">
        <v>55485.779000000002</v>
      </c>
      <c r="D23" s="8">
        <v>1E-3</v>
      </c>
      <c r="E23">
        <f>+(C23-C$7)/C$8</f>
        <v>3475.0763633286797</v>
      </c>
      <c r="F23">
        <f>ROUND(2*E23,0)/2</f>
        <v>3475</v>
      </c>
      <c r="G23">
        <f>+C23-(C$7+F23*C$8)</f>
        <v>9.0250000001105946E-2</v>
      </c>
      <c r="K23">
        <f>+G23</f>
        <v>9.0250000001105946E-2</v>
      </c>
      <c r="O23">
        <f ca="1">+C$11+C$12*$F23</f>
        <v>8.8381382365714148E-2</v>
      </c>
      <c r="Q23" s="2">
        <f>+C23-15018.5</f>
        <v>40467.279000000002</v>
      </c>
      <c r="R23" t="s">
        <v>44</v>
      </c>
    </row>
    <row r="24" spans="1:18">
      <c r="A24" s="42" t="s">
        <v>71</v>
      </c>
      <c r="B24" s="43" t="s">
        <v>72</v>
      </c>
      <c r="C24" s="42">
        <v>55851.5674</v>
      </c>
      <c r="D24" s="42" t="s">
        <v>52</v>
      </c>
      <c r="E24">
        <f>+(C24-C$7)/C$8</f>
        <v>3784.5812920421354</v>
      </c>
      <c r="F24">
        <f>ROUND(2*E24,0)/2</f>
        <v>3784.5</v>
      </c>
      <c r="G24">
        <f>+C24-(C$7+F24*C$8)</f>
        <v>9.6074999994016252E-2</v>
      </c>
      <c r="K24">
        <f>+G24</f>
        <v>9.6074999994016252E-2</v>
      </c>
      <c r="O24">
        <f ca="1">+C$11+C$12*$F24</f>
        <v>9.6261689043654008E-2</v>
      </c>
      <c r="Q24" s="2">
        <f>+C24-15018.5</f>
        <v>40833.0674</v>
      </c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1"/>
  <sheetViews>
    <sheetView workbookViewId="0">
      <selection activeCell="A13" sqref="A13:D13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29" t="s">
        <v>42</v>
      </c>
      <c r="I1" s="30" t="s">
        <v>43</v>
      </c>
      <c r="J1" s="31" t="s">
        <v>44</v>
      </c>
    </row>
    <row r="2" spans="1:16">
      <c r="I2" s="32" t="s">
        <v>45</v>
      </c>
      <c r="J2" s="33" t="s">
        <v>46</v>
      </c>
    </row>
    <row r="3" spans="1:16">
      <c r="A3" s="34" t="s">
        <v>47</v>
      </c>
      <c r="I3" s="32" t="s">
        <v>48</v>
      </c>
      <c r="J3" s="33" t="s">
        <v>49</v>
      </c>
    </row>
    <row r="4" spans="1:16">
      <c r="I4" s="32" t="s">
        <v>50</v>
      </c>
      <c r="J4" s="33" t="s">
        <v>49</v>
      </c>
    </row>
    <row r="5" spans="1:16" ht="13.5" thickBot="1">
      <c r="I5" s="35" t="s">
        <v>51</v>
      </c>
      <c r="J5" s="36" t="s">
        <v>52</v>
      </c>
    </row>
    <row r="10" spans="1:16" ht="13.5" thickBot="1"/>
    <row r="11" spans="1:16" ht="12.75" customHeight="1" thickBot="1">
      <c r="A11" s="8" t="str">
        <f>P11</f>
        <v>BAVM 220 </v>
      </c>
      <c r="B11" s="3" t="str">
        <f>IF(H11=INT(H11),"I","II")</f>
        <v>I</v>
      </c>
      <c r="C11" s="8">
        <f>1*G11</f>
        <v>55223.398999999998</v>
      </c>
      <c r="D11" s="10" t="str">
        <f>VLOOKUP(F11,I$1:J$5,2,FALSE)</f>
        <v>vis</v>
      </c>
      <c r="E11" s="37">
        <f>VLOOKUP(C11,Active!C$21:E$973,3,FALSE)</f>
        <v>3253.0684943097644</v>
      </c>
      <c r="F11" s="3" t="s">
        <v>51</v>
      </c>
      <c r="G11" s="10" t="str">
        <f>MID(I11,3,LEN(I11)-3)</f>
        <v>55223.3990</v>
      </c>
      <c r="H11" s="8">
        <f>1*K11</f>
        <v>3253</v>
      </c>
      <c r="I11" s="38" t="s">
        <v>53</v>
      </c>
      <c r="J11" s="39" t="s">
        <v>54</v>
      </c>
      <c r="K11" s="38">
        <v>3253</v>
      </c>
      <c r="L11" s="38" t="s">
        <v>55</v>
      </c>
      <c r="M11" s="39" t="s">
        <v>56</v>
      </c>
      <c r="N11" s="39" t="s">
        <v>57</v>
      </c>
      <c r="O11" s="40" t="s">
        <v>58</v>
      </c>
      <c r="P11" s="41" t="s">
        <v>59</v>
      </c>
    </row>
    <row r="12" spans="1:16" ht="12.75" customHeight="1" thickBot="1">
      <c r="A12" s="8" t="str">
        <f>P12</f>
        <v>IBVS 5966 </v>
      </c>
      <c r="B12" s="3" t="str">
        <f>IF(H12=INT(H12),"I","II")</f>
        <v>I</v>
      </c>
      <c r="C12" s="8">
        <f>1*G12</f>
        <v>55485.779000000002</v>
      </c>
      <c r="D12" s="10" t="str">
        <f>VLOOKUP(F12,I$1:J$5,2,FALSE)</f>
        <v>vis</v>
      </c>
      <c r="E12" s="37">
        <f>VLOOKUP(C12,Active!C$21:E$973,3,FALSE)</f>
        <v>3475.0763633286797</v>
      </c>
      <c r="F12" s="3" t="s">
        <v>51</v>
      </c>
      <c r="G12" s="10" t="str">
        <f>MID(I12,3,LEN(I12)-3)</f>
        <v>55485.779</v>
      </c>
      <c r="H12" s="8">
        <f>1*K12</f>
        <v>3475</v>
      </c>
      <c r="I12" s="38" t="s">
        <v>60</v>
      </c>
      <c r="J12" s="39" t="s">
        <v>61</v>
      </c>
      <c r="K12" s="38" t="s">
        <v>62</v>
      </c>
      <c r="L12" s="38" t="s">
        <v>63</v>
      </c>
      <c r="M12" s="39" t="s">
        <v>56</v>
      </c>
      <c r="N12" s="39" t="s">
        <v>43</v>
      </c>
      <c r="O12" s="40" t="s">
        <v>64</v>
      </c>
      <c r="P12" s="41" t="s">
        <v>65</v>
      </c>
    </row>
    <row r="13" spans="1:16" ht="12.75" customHeight="1" thickBot="1">
      <c r="A13" s="8" t="str">
        <f>P13</f>
        <v>BAVM 225 </v>
      </c>
      <c r="B13" s="3" t="str">
        <f>IF(H13=INT(H13),"I","II")</f>
        <v>II</v>
      </c>
      <c r="C13" s="8">
        <f>1*G13</f>
        <v>55851.5674</v>
      </c>
      <c r="D13" s="10" t="str">
        <f>VLOOKUP(F13,I$1:J$5,2,FALSE)</f>
        <v>vis</v>
      </c>
      <c r="E13" s="37">
        <f>VLOOKUP(C13,Active!C$21:E$973,3,FALSE)</f>
        <v>3784.5812920421354</v>
      </c>
      <c r="F13" s="3" t="s">
        <v>51</v>
      </c>
      <c r="G13" s="10" t="str">
        <f>MID(I13,3,LEN(I13)-3)</f>
        <v>55851.5674</v>
      </c>
      <c r="H13" s="8">
        <f>1*K13</f>
        <v>3784.5</v>
      </c>
      <c r="I13" s="38" t="s">
        <v>66</v>
      </c>
      <c r="J13" s="39" t="s">
        <v>67</v>
      </c>
      <c r="K13" s="38" t="s">
        <v>68</v>
      </c>
      <c r="L13" s="38" t="s">
        <v>69</v>
      </c>
      <c r="M13" s="39" t="s">
        <v>56</v>
      </c>
      <c r="N13" s="39" t="s">
        <v>70</v>
      </c>
      <c r="O13" s="40" t="s">
        <v>58</v>
      </c>
      <c r="P13" s="41" t="s">
        <v>71</v>
      </c>
    </row>
    <row r="14" spans="1:16">
      <c r="B14" s="3"/>
      <c r="F14" s="3"/>
    </row>
    <row r="15" spans="1:16">
      <c r="B15" s="3"/>
      <c r="F15" s="3"/>
    </row>
    <row r="16" spans="1:16">
      <c r="B16" s="3"/>
      <c r="F16" s="3"/>
    </row>
    <row r="17" spans="2:6">
      <c r="B17" s="3"/>
      <c r="F17" s="3"/>
    </row>
    <row r="18" spans="2:6">
      <c r="B18" s="3"/>
      <c r="F18" s="3"/>
    </row>
    <row r="19" spans="2:6">
      <c r="B19" s="3"/>
      <c r="F19" s="3"/>
    </row>
    <row r="20" spans="2:6">
      <c r="B20" s="3"/>
      <c r="F20" s="3"/>
    </row>
    <row r="21" spans="2:6">
      <c r="B21" s="3"/>
      <c r="F21" s="3"/>
    </row>
    <row r="22" spans="2:6">
      <c r="B22" s="3"/>
      <c r="F22" s="3"/>
    </row>
    <row r="23" spans="2:6">
      <c r="B23" s="3"/>
      <c r="F23" s="3"/>
    </row>
    <row r="24" spans="2:6">
      <c r="B24" s="3"/>
      <c r="F24" s="3"/>
    </row>
    <row r="25" spans="2:6">
      <c r="B25" s="3"/>
      <c r="F25" s="3"/>
    </row>
    <row r="26" spans="2:6">
      <c r="B26" s="3"/>
      <c r="F26" s="3"/>
    </row>
    <row r="27" spans="2:6">
      <c r="B27" s="3"/>
      <c r="F27" s="3"/>
    </row>
    <row r="28" spans="2:6">
      <c r="B28" s="3"/>
      <c r="F28" s="3"/>
    </row>
    <row r="29" spans="2:6">
      <c r="B29" s="3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</sheetData>
  <phoneticPr fontId="7" type="noConversion"/>
  <hyperlinks>
    <hyperlink ref="P11" r:id="rId1" display="http://www.bav-astro.de/sfs/BAVM_link.php?BAVMnr=220"/>
    <hyperlink ref="P12" r:id="rId2" display="http://www.konkoly.hu/cgi-bin/IBVS?5966"/>
    <hyperlink ref="P13" r:id="rId3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2024-01-20T04:45:33Z</dcterms:modified>
</cp:coreProperties>
</file>