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BA286D7-C0FD-4369-AE3B-55A49152C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3" i="1" l="1"/>
  <c r="F113" i="1" s="1"/>
  <c r="G113" i="1" s="1"/>
  <c r="K113" i="1" s="1"/>
  <c r="Q113" i="1"/>
  <c r="E118" i="1"/>
  <c r="F118" i="1"/>
  <c r="G118" i="1" s="1"/>
  <c r="K118" i="1" s="1"/>
  <c r="Q118" i="1"/>
  <c r="E119" i="1"/>
  <c r="F119" i="1" s="1"/>
  <c r="G119" i="1" s="1"/>
  <c r="K119" i="1" s="1"/>
  <c r="Q119" i="1"/>
  <c r="E100" i="1"/>
  <c r="F100" i="1" s="1"/>
  <c r="G100" i="1" s="1"/>
  <c r="K100" i="1" s="1"/>
  <c r="Q100" i="1"/>
  <c r="F14" i="1"/>
  <c r="E116" i="1"/>
  <c r="F116" i="1" s="1"/>
  <c r="G116" i="1" s="1"/>
  <c r="K116" i="1" s="1"/>
  <c r="Q116" i="1"/>
  <c r="E114" i="1"/>
  <c r="F114" i="1" s="1"/>
  <c r="G114" i="1" s="1"/>
  <c r="K114" i="1" s="1"/>
  <c r="Q114" i="1"/>
  <c r="E115" i="1"/>
  <c r="F115" i="1" s="1"/>
  <c r="G115" i="1" s="1"/>
  <c r="K115" i="1" s="1"/>
  <c r="Q115" i="1"/>
  <c r="E117" i="1"/>
  <c r="F117" i="1" s="1"/>
  <c r="G117" i="1" s="1"/>
  <c r="K117" i="1" s="1"/>
  <c r="Q117" i="1"/>
  <c r="E111" i="1"/>
  <c r="F111" i="1" s="1"/>
  <c r="G111" i="1" s="1"/>
  <c r="K111" i="1" s="1"/>
  <c r="Q111" i="1"/>
  <c r="E112" i="1"/>
  <c r="F112" i="1" s="1"/>
  <c r="G112" i="1" s="1"/>
  <c r="K112" i="1" s="1"/>
  <c r="Q112" i="1"/>
  <c r="E109" i="1"/>
  <c r="F109" i="1" s="1"/>
  <c r="G109" i="1" s="1"/>
  <c r="K109" i="1" s="1"/>
  <c r="Q107" i="1"/>
  <c r="Q108" i="1"/>
  <c r="Q109" i="1"/>
  <c r="Q110" i="1"/>
  <c r="Q106" i="1"/>
  <c r="E102" i="1"/>
  <c r="F102" i="1" s="1"/>
  <c r="G102" i="1" s="1"/>
  <c r="K102" i="1" s="1"/>
  <c r="Q102" i="1"/>
  <c r="Q103" i="1"/>
  <c r="E104" i="1"/>
  <c r="F104" i="1" s="1"/>
  <c r="G104" i="1" s="1"/>
  <c r="K104" i="1" s="1"/>
  <c r="Q104" i="1"/>
  <c r="Q105" i="1"/>
  <c r="E107" i="1"/>
  <c r="F107" i="1" s="1"/>
  <c r="G107" i="1" s="1"/>
  <c r="K107" i="1" s="1"/>
  <c r="E21" i="1"/>
  <c r="F21" i="1" s="1"/>
  <c r="G21" i="1" s="1"/>
  <c r="H21" i="1" s="1"/>
  <c r="E23" i="1"/>
  <c r="F23" i="1" s="1"/>
  <c r="G23" i="1" s="1"/>
  <c r="H23" i="1" s="1"/>
  <c r="E25" i="1"/>
  <c r="F25" i="1" s="1"/>
  <c r="G25" i="1" s="1"/>
  <c r="H25" i="1" s="1"/>
  <c r="E27" i="1"/>
  <c r="F27" i="1" s="1"/>
  <c r="G27" i="1" s="1"/>
  <c r="I27" i="1" s="1"/>
  <c r="E29" i="1"/>
  <c r="F29" i="1" s="1"/>
  <c r="G29" i="1" s="1"/>
  <c r="I29" i="1" s="1"/>
  <c r="E32" i="1"/>
  <c r="F32" i="1" s="1"/>
  <c r="G32" i="1" s="1"/>
  <c r="I32" i="1" s="1"/>
  <c r="E34" i="1"/>
  <c r="F34" i="1" s="1"/>
  <c r="G34" i="1" s="1"/>
  <c r="I34" i="1" s="1"/>
  <c r="E36" i="1"/>
  <c r="F36" i="1" s="1"/>
  <c r="G36" i="1" s="1"/>
  <c r="I36" i="1" s="1"/>
  <c r="E38" i="1"/>
  <c r="F38" i="1" s="1"/>
  <c r="G38" i="1" s="1"/>
  <c r="I38" i="1" s="1"/>
  <c r="E40" i="1"/>
  <c r="F40" i="1" s="1"/>
  <c r="G40" i="1" s="1"/>
  <c r="I40" i="1" s="1"/>
  <c r="E42" i="1"/>
  <c r="F42" i="1" s="1"/>
  <c r="G42" i="1" s="1"/>
  <c r="I42" i="1" s="1"/>
  <c r="E44" i="1"/>
  <c r="F44" i="1" s="1"/>
  <c r="G44" i="1" s="1"/>
  <c r="I44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9" i="1"/>
  <c r="F79" i="1" s="1"/>
  <c r="G79" i="1" s="1"/>
  <c r="I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6" i="1"/>
  <c r="F86" i="1" s="1"/>
  <c r="G86" i="1" s="1"/>
  <c r="K86" i="1" s="1"/>
  <c r="E87" i="1"/>
  <c r="F87" i="1" s="1"/>
  <c r="G87" i="1" s="1"/>
  <c r="K87" i="1" s="1"/>
  <c r="E97" i="1"/>
  <c r="F97" i="1" s="1"/>
  <c r="G97" i="1" s="1"/>
  <c r="K97" i="1" s="1"/>
  <c r="E98" i="1"/>
  <c r="F98" i="1" s="1"/>
  <c r="G98" i="1" s="1"/>
  <c r="K98" i="1" s="1"/>
  <c r="E85" i="1"/>
  <c r="F85" i="1" s="1"/>
  <c r="G85" i="1" s="1"/>
  <c r="K85" i="1" s="1"/>
  <c r="E101" i="1"/>
  <c r="F101" i="1" s="1"/>
  <c r="G101" i="1" s="1"/>
  <c r="K101" i="1" s="1"/>
  <c r="E73" i="1"/>
  <c r="F73" i="1" s="1"/>
  <c r="G73" i="1" s="1"/>
  <c r="J73" i="1" s="1"/>
  <c r="E74" i="1"/>
  <c r="F74" i="1" s="1"/>
  <c r="G74" i="1" s="1"/>
  <c r="J74" i="1" s="1"/>
  <c r="E75" i="1"/>
  <c r="F75" i="1" s="1"/>
  <c r="G75" i="1" s="1"/>
  <c r="J75" i="1" s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J78" i="1" s="1"/>
  <c r="E94" i="1"/>
  <c r="F94" i="1" s="1"/>
  <c r="G94" i="1" s="1"/>
  <c r="J94" i="1" s="1"/>
  <c r="E96" i="1"/>
  <c r="F96" i="1" s="1"/>
  <c r="G96" i="1" s="1"/>
  <c r="J96" i="1" s="1"/>
  <c r="E99" i="1"/>
  <c r="F99" i="1" s="1"/>
  <c r="G99" i="1" s="1"/>
  <c r="K99" i="1" s="1"/>
  <c r="E88" i="1"/>
  <c r="F88" i="1" s="1"/>
  <c r="G88" i="1" s="1"/>
  <c r="K88" i="1" s="1"/>
  <c r="E89" i="1"/>
  <c r="F89" i="1" s="1"/>
  <c r="G89" i="1" s="1"/>
  <c r="K89" i="1" s="1"/>
  <c r="E90" i="1"/>
  <c r="F90" i="1" s="1"/>
  <c r="G90" i="1" s="1"/>
  <c r="K90" i="1" s="1"/>
  <c r="E91" i="1"/>
  <c r="F91" i="1" s="1"/>
  <c r="G91" i="1" s="1"/>
  <c r="K91" i="1" s="1"/>
  <c r="E92" i="1"/>
  <c r="F92" i="1" s="1"/>
  <c r="G92" i="1" s="1"/>
  <c r="K92" i="1" s="1"/>
  <c r="E93" i="1"/>
  <c r="F93" i="1" s="1"/>
  <c r="G93" i="1" s="1"/>
  <c r="K93" i="1" s="1"/>
  <c r="E95" i="1"/>
  <c r="F95" i="1" s="1"/>
  <c r="G95" i="1" s="1"/>
  <c r="K95" i="1" s="1"/>
  <c r="D9" i="1"/>
  <c r="C9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9" i="1"/>
  <c r="Q80" i="1"/>
  <c r="Q81" i="1"/>
  <c r="Q82" i="1"/>
  <c r="Q83" i="1"/>
  <c r="Q84" i="1"/>
  <c r="Q86" i="1"/>
  <c r="Q87" i="1"/>
  <c r="Q97" i="1"/>
  <c r="G28" i="2"/>
  <c r="C28" i="2"/>
  <c r="G27" i="2"/>
  <c r="C27" i="2"/>
  <c r="G89" i="2"/>
  <c r="C89" i="2"/>
  <c r="G88" i="2"/>
  <c r="C88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87" i="2"/>
  <c r="C87" i="2"/>
  <c r="G86" i="2"/>
  <c r="C86" i="2"/>
  <c r="G17" i="2"/>
  <c r="C17" i="2"/>
  <c r="G85" i="2"/>
  <c r="C85" i="2"/>
  <c r="G84" i="2"/>
  <c r="C84" i="2"/>
  <c r="G83" i="2"/>
  <c r="C83" i="2"/>
  <c r="G82" i="2"/>
  <c r="C82" i="2"/>
  <c r="G81" i="2"/>
  <c r="C81" i="2"/>
  <c r="G80" i="2"/>
  <c r="C80" i="2"/>
  <c r="G16" i="2"/>
  <c r="C16" i="2"/>
  <c r="G15" i="2"/>
  <c r="C15" i="2"/>
  <c r="G14" i="2"/>
  <c r="C14" i="2"/>
  <c r="G13" i="2"/>
  <c r="C13" i="2"/>
  <c r="G12" i="2"/>
  <c r="C12" i="2"/>
  <c r="G11" i="2"/>
  <c r="C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E29" i="2"/>
  <c r="H28" i="2"/>
  <c r="B28" i="2"/>
  <c r="D28" i="2"/>
  <c r="A28" i="2"/>
  <c r="H27" i="2"/>
  <c r="B27" i="2"/>
  <c r="D27" i="2"/>
  <c r="A27" i="2"/>
  <c r="H89" i="2"/>
  <c r="B89" i="2"/>
  <c r="D89" i="2"/>
  <c r="A89" i="2"/>
  <c r="H88" i="2"/>
  <c r="B88" i="2"/>
  <c r="D88" i="2"/>
  <c r="A88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F23" i="2"/>
  <c r="D23" i="2"/>
  <c r="B23" i="2"/>
  <c r="A23" i="2"/>
  <c r="H22" i="2"/>
  <c r="B22" i="2"/>
  <c r="F22" i="2"/>
  <c r="D22" i="2"/>
  <c r="A22" i="2"/>
  <c r="H21" i="2"/>
  <c r="B21" i="2"/>
  <c r="F21" i="2"/>
  <c r="D21" i="2"/>
  <c r="A21" i="2"/>
  <c r="H20" i="2"/>
  <c r="B20" i="2"/>
  <c r="F20" i="2"/>
  <c r="D20" i="2"/>
  <c r="A20" i="2"/>
  <c r="H19" i="2"/>
  <c r="F19" i="2"/>
  <c r="D19" i="2"/>
  <c r="B19" i="2"/>
  <c r="A19" i="2"/>
  <c r="H18" i="2"/>
  <c r="D18" i="2"/>
  <c r="B18" i="2"/>
  <c r="A18" i="2"/>
  <c r="H87" i="2"/>
  <c r="B87" i="2"/>
  <c r="D87" i="2"/>
  <c r="A87" i="2"/>
  <c r="H86" i="2"/>
  <c r="D86" i="2"/>
  <c r="B86" i="2"/>
  <c r="A86" i="2"/>
  <c r="H17" i="2"/>
  <c r="B17" i="2"/>
  <c r="D17" i="2"/>
  <c r="A17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101" i="1"/>
  <c r="Q98" i="1"/>
  <c r="Q85" i="1"/>
  <c r="Q99" i="1"/>
  <c r="Q93" i="1"/>
  <c r="Q95" i="1"/>
  <c r="Q88" i="1"/>
  <c r="Q89" i="1"/>
  <c r="Q90" i="1"/>
  <c r="Q91" i="1"/>
  <c r="Q92" i="1"/>
  <c r="Q94" i="1"/>
  <c r="Q96" i="1"/>
  <c r="Q73" i="1"/>
  <c r="Q74" i="1"/>
  <c r="Q75" i="1"/>
  <c r="Q76" i="1"/>
  <c r="Q77" i="1"/>
  <c r="Q78" i="1"/>
  <c r="E30" i="1"/>
  <c r="F30" i="1" s="1"/>
  <c r="G30" i="1" s="1"/>
  <c r="I30" i="1" s="1"/>
  <c r="E24" i="1"/>
  <c r="F24" i="1" s="1"/>
  <c r="G24" i="1" s="1"/>
  <c r="H24" i="1" s="1"/>
  <c r="E28" i="1"/>
  <c r="F28" i="1" s="1"/>
  <c r="G28" i="1" s="1"/>
  <c r="I28" i="1" s="1"/>
  <c r="E41" i="1"/>
  <c r="F41" i="1" s="1"/>
  <c r="G41" i="1" s="1"/>
  <c r="I41" i="1" s="1"/>
  <c r="E45" i="1"/>
  <c r="F45" i="1" s="1"/>
  <c r="G45" i="1" s="1"/>
  <c r="I45" i="1" s="1"/>
  <c r="E37" i="1"/>
  <c r="F37" i="1" s="1"/>
  <c r="G37" i="1" s="1"/>
  <c r="I37" i="1" s="1"/>
  <c r="E33" i="1"/>
  <c r="F33" i="1" s="1"/>
  <c r="G33" i="1" s="1"/>
  <c r="I33" i="1" s="1"/>
  <c r="E43" i="1"/>
  <c r="F43" i="1" s="1"/>
  <c r="G43" i="1" s="1"/>
  <c r="I43" i="1" s="1"/>
  <c r="E39" i="1"/>
  <c r="F39" i="1" s="1"/>
  <c r="G39" i="1" s="1"/>
  <c r="I39" i="1" s="1"/>
  <c r="E35" i="1"/>
  <c r="F35" i="1" s="1"/>
  <c r="G35" i="1" s="1"/>
  <c r="I35" i="1" s="1"/>
  <c r="E26" i="1"/>
  <c r="F26" i="1" s="1"/>
  <c r="G26" i="1" s="1"/>
  <c r="I26" i="1" s="1"/>
  <c r="E22" i="1"/>
  <c r="F22" i="1" s="1"/>
  <c r="G22" i="1" s="1"/>
  <c r="H22" i="1" s="1"/>
  <c r="E108" i="1"/>
  <c r="F108" i="1" s="1"/>
  <c r="G108" i="1" s="1"/>
  <c r="K108" i="1" s="1"/>
  <c r="E103" i="1"/>
  <c r="F103" i="1" s="1"/>
  <c r="G103" i="1" s="1"/>
  <c r="K103" i="1" s="1"/>
  <c r="E106" i="1"/>
  <c r="F106" i="1" s="1"/>
  <c r="G106" i="1" s="1"/>
  <c r="K106" i="1" s="1"/>
  <c r="E110" i="1"/>
  <c r="F110" i="1" s="1"/>
  <c r="G110" i="1" s="1"/>
  <c r="K110" i="1" s="1"/>
  <c r="E105" i="1"/>
  <c r="F105" i="1" s="1"/>
  <c r="G105" i="1" s="1"/>
  <c r="K105" i="1" s="1"/>
  <c r="C12" i="1"/>
  <c r="C11" i="1"/>
  <c r="E40" i="2" l="1"/>
  <c r="E31" i="2"/>
  <c r="O119" i="1"/>
  <c r="O118" i="1"/>
  <c r="O113" i="1"/>
  <c r="O100" i="1"/>
  <c r="F15" i="1"/>
  <c r="E32" i="2"/>
  <c r="E36" i="2"/>
  <c r="E38" i="2"/>
  <c r="E37" i="2"/>
  <c r="E39" i="2"/>
  <c r="E41" i="2"/>
  <c r="O116" i="1"/>
  <c r="E35" i="2"/>
  <c r="E34" i="2"/>
  <c r="E30" i="2"/>
  <c r="O117" i="1"/>
  <c r="O115" i="1"/>
  <c r="O114" i="1"/>
  <c r="C16" i="1"/>
  <c r="D18" i="1" s="1"/>
  <c r="O98" i="1"/>
  <c r="O107" i="1"/>
  <c r="O97" i="1"/>
  <c r="O85" i="1"/>
  <c r="O22" i="1"/>
  <c r="O51" i="1"/>
  <c r="O88" i="1"/>
  <c r="O82" i="1"/>
  <c r="O60" i="1"/>
  <c r="O104" i="1"/>
  <c r="O86" i="1"/>
  <c r="O111" i="1"/>
  <c r="O78" i="1"/>
  <c r="O47" i="1"/>
  <c r="O39" i="1"/>
  <c r="O54" i="1"/>
  <c r="O64" i="1"/>
  <c r="O102" i="1"/>
  <c r="O84" i="1"/>
  <c r="O42" i="1"/>
  <c r="O69" i="1"/>
  <c r="O23" i="1"/>
  <c r="O73" i="1"/>
  <c r="O68" i="1"/>
  <c r="O93" i="1"/>
  <c r="O25" i="1"/>
  <c r="O94" i="1"/>
  <c r="O49" i="1"/>
  <c r="O48" i="1"/>
  <c r="O58" i="1"/>
  <c r="O76" i="1"/>
  <c r="O77" i="1"/>
  <c r="O59" i="1"/>
  <c r="O109" i="1"/>
  <c r="O70" i="1"/>
  <c r="O95" i="1"/>
  <c r="O45" i="1"/>
  <c r="O55" i="1"/>
  <c r="O74" i="1"/>
  <c r="O53" i="1"/>
  <c r="O66" i="1"/>
  <c r="O103" i="1"/>
  <c r="O89" i="1"/>
  <c r="O29" i="1"/>
  <c r="O35" i="1"/>
  <c r="O90" i="1"/>
  <c r="O46" i="1"/>
  <c r="O63" i="1"/>
  <c r="O27" i="1"/>
  <c r="O80" i="1"/>
  <c r="O32" i="1"/>
  <c r="O57" i="1"/>
  <c r="O99" i="1"/>
  <c r="O56" i="1"/>
  <c r="O44" i="1"/>
  <c r="O81" i="1"/>
  <c r="O105" i="1"/>
  <c r="O72" i="1"/>
  <c r="O83" i="1"/>
  <c r="O112" i="1"/>
  <c r="O65" i="1"/>
  <c r="O61" i="1"/>
  <c r="O110" i="1"/>
  <c r="O36" i="1"/>
  <c r="O34" i="1"/>
  <c r="O91" i="1"/>
  <c r="O30" i="1"/>
  <c r="O67" i="1"/>
  <c r="O108" i="1"/>
  <c r="O62" i="1"/>
  <c r="O28" i="1"/>
  <c r="O92" i="1"/>
  <c r="O43" i="1"/>
  <c r="O33" i="1"/>
  <c r="O37" i="1"/>
  <c r="O101" i="1"/>
  <c r="O50" i="1"/>
  <c r="O41" i="1"/>
  <c r="O79" i="1"/>
  <c r="O21" i="1"/>
  <c r="O71" i="1"/>
  <c r="O40" i="1"/>
  <c r="O75" i="1"/>
  <c r="O38" i="1"/>
  <c r="O106" i="1"/>
  <c r="O52" i="1"/>
  <c r="O96" i="1"/>
  <c r="O87" i="1"/>
  <c r="O26" i="1"/>
  <c r="O24" i="1"/>
  <c r="E31" i="1" l="1"/>
  <c r="F31" i="1" s="1"/>
  <c r="E44" i="2"/>
  <c r="E27" i="2"/>
  <c r="E70" i="2"/>
  <c r="E42" i="2"/>
  <c r="E52" i="2"/>
  <c r="E13" i="2"/>
  <c r="E45" i="2"/>
  <c r="E57" i="2"/>
  <c r="E65" i="2"/>
  <c r="E73" i="2"/>
  <c r="E12" i="2"/>
  <c r="E15" i="2"/>
  <c r="E24" i="2"/>
  <c r="E88" i="2"/>
  <c r="E75" i="2"/>
  <c r="E54" i="2"/>
  <c r="E17" i="2"/>
  <c r="E26" i="2"/>
  <c r="Q31" i="1"/>
  <c r="E60" i="2"/>
  <c r="E68" i="2"/>
  <c r="E76" i="2"/>
  <c r="E81" i="2"/>
  <c r="E28" i="2"/>
  <c r="E59" i="2"/>
  <c r="E46" i="2"/>
  <c r="E49" i="2"/>
  <c r="E55" i="2"/>
  <c r="E63" i="2"/>
  <c r="E71" i="2"/>
  <c r="E79" i="2"/>
  <c r="E86" i="2"/>
  <c r="E19" i="2"/>
  <c r="E22" i="2"/>
  <c r="E18" i="2"/>
  <c r="E67" i="2"/>
  <c r="E84" i="2"/>
  <c r="E51" i="2"/>
  <c r="E78" i="2"/>
  <c r="E43" i="2"/>
  <c r="E58" i="2"/>
  <c r="E66" i="2"/>
  <c r="E74" i="2"/>
  <c r="E16" i="2"/>
  <c r="E25" i="2"/>
  <c r="E89" i="2"/>
  <c r="E62" i="2"/>
  <c r="E53" i="2"/>
  <c r="E61" i="2"/>
  <c r="E69" i="2"/>
  <c r="E77" i="2"/>
  <c r="E82" i="2"/>
  <c r="E85" i="2"/>
  <c r="E48" i="2"/>
  <c r="E80" i="2"/>
  <c r="E50" i="2"/>
  <c r="E83" i="2"/>
  <c r="E21" i="2"/>
  <c r="E47" i="2"/>
  <c r="E56" i="2"/>
  <c r="E64" i="2"/>
  <c r="E72" i="2"/>
  <c r="E11" i="2"/>
  <c r="E14" i="2"/>
  <c r="E87" i="2"/>
  <c r="E20" i="2"/>
  <c r="C17" i="1"/>
  <c r="E23" i="2"/>
  <c r="O31" i="1" l="1"/>
  <c r="G31" i="1"/>
  <c r="J31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<sst xmlns="http://schemas.openxmlformats.org/spreadsheetml/2006/main" count="891" uniqueCount="352">
  <si>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</si>
  <si>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</si>
  <si>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</si>
  <si>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</si>
  <si>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</si>
  <si>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</si>
  <si>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</si>
  <si>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</si>
  <si>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</si>
  <si>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</si>
  <si>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</si>
  <si>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</si>
  <si>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</si>
  <si>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</si>
  <si>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</si>
  <si>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</si>
  <si>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</si>
  <si>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</si>
  <si>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</si>
  <si>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</si>
  <si>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</si>
  <si>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</si>
  <si>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</si>
  <si>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</si>
  <si>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</si>
  <si>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</si>
  <si>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</si>
  <si>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</si>
  <si>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5016</t>
  </si>
  <si>
    <t>II</t>
  </si>
  <si>
    <t># of data points:</t>
  </si>
  <si>
    <t xml:space="preserve">EB/DM     </t>
  </si>
  <si>
    <t>DL Cep / GSC 3981-0522</t>
  </si>
  <si>
    <t>Ref: 1999A&amp;AS..134..255K</t>
  </si>
  <si>
    <t>My time zone &gt;&gt;&gt;&gt;&gt;</t>
  </si>
  <si>
    <t>(PST=8, PDT=MDT=7, MDT=CST=6, etc.)</t>
  </si>
  <si>
    <t>na</t>
  </si>
  <si>
    <t>JD today</t>
  </si>
  <si>
    <t>New Cycle</t>
  </si>
  <si>
    <t>Start of linear fit &gt;&gt;&gt;&gt;&gt;&gt;&gt;&gt;&gt;&gt;&gt;&gt;&gt;&gt;&gt;&gt;&gt;&gt;&gt;&gt;&gt;</t>
  </si>
  <si>
    <t>IBVS 6010</t>
  </si>
  <si>
    <t>I</t>
  </si>
  <si>
    <t>Add cycle</t>
  </si>
  <si>
    <t>Old Cycle</t>
  </si>
  <si>
    <t>JAVSO..39...94</t>
  </si>
  <si>
    <t>JAVSO..40....1</t>
  </si>
  <si>
    <t>JAVSO..36..186</t>
  </si>
  <si>
    <t>JAVSO..37...44</t>
  </si>
  <si>
    <t>JAVSO..38..183</t>
  </si>
  <si>
    <t>BAD</t>
  </si>
  <si>
    <t>IBVS 6042</t>
  </si>
  <si>
    <t>2013JAVSO..41..328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</si>
  <si>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</si>
  <si>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</si>
  <si>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</si>
  <si>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</si>
  <si>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</si>
  <si>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</si>
  <si>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</si>
  <si>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</si>
  <si>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</si>
  <si>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</si>
  <si>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</si>
  <si>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</si>
  <si>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</si>
  <si>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</si>
  <si>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2426332.247 </t>
  </si>
  <si>
    <t> 21.12.1930 17:55 </t>
  </si>
  <si>
    <t> 0.801 </t>
  </si>
  <si>
    <t>P </t>
  </si>
  <si>
    <t> O.Morgenroth </t>
  </si>
  <si>
    <t> AN 256.283 </t>
  </si>
  <si>
    <t>2426350.222 </t>
  </si>
  <si>
    <t> 08.01.1931 17:19 </t>
  </si>
  <si>
    <t> 0.840 </t>
  </si>
  <si>
    <t>2426627.427 </t>
  </si>
  <si>
    <t> 12.10.1931 22:14 </t>
  </si>
  <si>
    <t> 0.863 </t>
  </si>
  <si>
    <t>2428239.908 </t>
  </si>
  <si>
    <t> 12.03.1936 09:47 </t>
  </si>
  <si>
    <t> 0.799 </t>
  </si>
  <si>
    <t> H.Albo </t>
  </si>
  <si>
    <t> PTAO 34.212 </t>
  </si>
  <si>
    <t>2428304.345 </t>
  </si>
  <si>
    <t> 15.05.1936 20:16 </t>
  </si>
  <si>
    <t> 0.832 </t>
  </si>
  <si>
    <t>2433364.551 </t>
  </si>
  <si>
    <t> 24.03.1950 01:13 </t>
  </si>
  <si>
    <t> 0.025 </t>
  </si>
  <si>
    <t> PZ 9.208 </t>
  </si>
  <si>
    <t>2433589.485 </t>
  </si>
  <si>
    <t> 03.11.1950 23:38 </t>
  </si>
  <si>
    <t> -0.048 </t>
  </si>
  <si>
    <t>2433718.266 </t>
  </si>
  <si>
    <t> 12.03.1951 18:23 </t>
  </si>
  <si>
    <t> -0.075 </t>
  </si>
  <si>
    <t>2433844.698 </t>
  </si>
  <si>
    <t> 17.07.1951 04:45 </t>
  </si>
  <si>
    <t> -0.005 </t>
  </si>
  <si>
    <t>2433946.529 </t>
  </si>
  <si>
    <t> 27.10.1951 00:41 </t>
  </si>
  <si>
    <t> -0.079 </t>
  </si>
  <si>
    <t>2433946.630 </t>
  </si>
  <si>
    <t> 27.10.1951 03:07 </t>
  </si>
  <si>
    <t> 0.022 </t>
  </si>
  <si>
    <t>2434036.245 </t>
  </si>
  <si>
    <t> 24.01.1952 17:52 </t>
  </si>
  <si>
    <t> -0.039 </t>
  </si>
  <si>
    <t>2434078.616 </t>
  </si>
  <si>
    <t> 07.03.1952 02:47 </t>
  </si>
  <si>
    <t> -0.061 </t>
  </si>
  <si>
    <t>2434096.560 </t>
  </si>
  <si>
    <t> 25.03.1952 01:26 </t>
  </si>
  <si>
    <t> -0.052 </t>
  </si>
  <si>
    <t>2434098.302 </t>
  </si>
  <si>
    <t> 26.03.1952 19:14 </t>
  </si>
  <si>
    <t> 0.059 </t>
  </si>
  <si>
    <t>2434114.528 </t>
  </si>
  <si>
    <t> 12.04.1952 00:40 </t>
  </si>
  <si>
    <t> -0.020 </t>
  </si>
  <si>
    <t>2434119.433 </t>
  </si>
  <si>
    <t> 16.04.1952 22:23 </t>
  </si>
  <si>
    <t> -0.006 </t>
  </si>
  <si>
    <t>2434119.485 </t>
  </si>
  <si>
    <t> 16.04.1952 23:38 </t>
  </si>
  <si>
    <t> 0.046 </t>
  </si>
  <si>
    <t>2434419.442 </t>
  </si>
  <si>
    <t> 10.02.1953 22:36 </t>
  </si>
  <si>
    <t>2434485.479 </t>
  </si>
  <si>
    <t> 17.04.1953 23:29 </t>
  </si>
  <si>
    <t>2435023.540 </t>
  </si>
  <si>
    <t> 08.10.1954 00:57 </t>
  </si>
  <si>
    <t> -0.001 </t>
  </si>
  <si>
    <t>2435145.016 </t>
  </si>
  <si>
    <t> 06.02.1955 12:23 </t>
  </si>
  <si>
    <t> 0.004 </t>
  </si>
  <si>
    <t>2436780.418 </t>
  </si>
  <si>
    <t> 30.07.1959 22:01 </t>
  </si>
  <si>
    <t> 0.034 </t>
  </si>
  <si>
    <t> G.Romano </t>
  </si>
  <si>
    <t> MSAI 37.260 </t>
  </si>
  <si>
    <t>2436806.390 </t>
  </si>
  <si>
    <t> 25.08.1959 21:21 </t>
  </si>
  <si>
    <t> -0.082 </t>
  </si>
  <si>
    <t>2436842.341 </t>
  </si>
  <si>
    <t> 30.09.1959 20:11 </t>
  </si>
  <si>
    <t>2436896.217 </t>
  </si>
  <si>
    <t> 23.11.1959 17:12 </t>
  </si>
  <si>
    <t> 0.069 </t>
  </si>
  <si>
    <t>2436922.232 </t>
  </si>
  <si>
    <t> 19.12.1959 17:34 </t>
  </si>
  <si>
    <t> -0.004 </t>
  </si>
  <si>
    <t>2437116.395 </t>
  </si>
  <si>
    <t> 30.06.1960 21:28 </t>
  </si>
  <si>
    <t> 0.132 </t>
  </si>
  <si>
    <t>2437168.434 </t>
  </si>
  <si>
    <t> 21.08.1960 22:24 </t>
  </si>
  <si>
    <t>2437173.356 </t>
  </si>
  <si>
    <t> 26.08.1960 20:32 </t>
  </si>
  <si>
    <t> 0.026 </t>
  </si>
  <si>
    <t>2437253.224 </t>
  </si>
  <si>
    <t> 14.11.1960 17:22 </t>
  </si>
  <si>
    <t> 0.001 </t>
  </si>
  <si>
    <t>2437468.422 </t>
  </si>
  <si>
    <t> 17.06.1961 22:07 </t>
  </si>
  <si>
    <t> -0.025 </t>
  </si>
  <si>
    <t>2437499.461 </t>
  </si>
  <si>
    <t> 18.07.1961 23:03 </t>
  </si>
  <si>
    <t> 0.035 </t>
  </si>
  <si>
    <t>2437517.375 </t>
  </si>
  <si>
    <t> 05.08.1961 21:00 </t>
  </si>
  <si>
    <t> 0.014 </t>
  </si>
  <si>
    <t>2437548.406 </t>
  </si>
  <si>
    <t> 05.09.1961 21:44 </t>
  </si>
  <si>
    <t> 0.065 </t>
  </si>
  <si>
    <t>2437584.252 </t>
  </si>
  <si>
    <t> 11.10.1961 18:02 </t>
  </si>
  <si>
    <t> 0.041 </t>
  </si>
  <si>
    <t>2437615.223 </t>
  </si>
  <si>
    <t> 11.11.1961 17:21 </t>
  </si>
  <si>
    <t> 0.033 </t>
  </si>
  <si>
    <t>2437641.208 </t>
  </si>
  <si>
    <t> 07.12.1961 16:59 </t>
  </si>
  <si>
    <t> -0.070 </t>
  </si>
  <si>
    <t>2437659.220 </t>
  </si>
  <si>
    <t> 25.12.1961 17:16 </t>
  </si>
  <si>
    <t> 0.007 </t>
  </si>
  <si>
    <t>2437928.310 </t>
  </si>
  <si>
    <t> 20.09.1962 19:26 </t>
  </si>
  <si>
    <t> 0.067 </t>
  </si>
  <si>
    <t>2438316.320 </t>
  </si>
  <si>
    <t> 13.10.1963 19:40 </t>
  </si>
  <si>
    <t> 0.023 </t>
  </si>
  <si>
    <t>2443096.864 </t>
  </si>
  <si>
    <t> 14.11.1976 08:44 </t>
  </si>
  <si>
    <t>V </t>
  </si>
  <si>
    <t> D.Ruokonen </t>
  </si>
  <si>
    <t> AOEB 8 </t>
  </si>
  <si>
    <t>2443096.868 </t>
  </si>
  <si>
    <t> 14.11.1976 08:49 </t>
  </si>
  <si>
    <t> G.Wedemayer </t>
  </si>
  <si>
    <t>2443326.772 </t>
  </si>
  <si>
    <t> 02.07.1977 06:31 </t>
  </si>
  <si>
    <t> G.Samolyk </t>
  </si>
  <si>
    <t>2443701.771 </t>
  </si>
  <si>
    <t> 12.07.1978 06:30 </t>
  </si>
  <si>
    <t>2444081.694 </t>
  </si>
  <si>
    <t> 27.07.1979 04:39 </t>
  </si>
  <si>
    <t> 0.016 </t>
  </si>
  <si>
    <t>2444593.657 </t>
  </si>
  <si>
    <t> 20.12.1980 03:46 </t>
  </si>
  <si>
    <t> 0.008 </t>
  </si>
  <si>
    <t>2445193.678 </t>
  </si>
  <si>
    <t> 12.08.1982 04:16 </t>
  </si>
  <si>
    <t> 0.012 </t>
  </si>
  <si>
    <t>2445643.687 </t>
  </si>
  <si>
    <t> 05.11.1983 04:29 </t>
  </si>
  <si>
    <t>2446804.607 </t>
  </si>
  <si>
    <t> 09.01.1987 02:34 </t>
  </si>
  <si>
    <t>2447681.792 </t>
  </si>
  <si>
    <t> 04.06.1989 07:00 </t>
  </si>
  <si>
    <t>2449933.5164 </t>
  </si>
  <si>
    <t> 04.08.1995 00:23 </t>
  </si>
  <si>
    <t> 0.0422 </t>
  </si>
  <si>
    <t>E </t>
  </si>
  <si>
    <t>o</t>
  </si>
  <si>
    <t> W.Moschner </t>
  </si>
  <si>
    <t>BAVM 132 </t>
  </si>
  <si>
    <t>2449951.4493 </t>
  </si>
  <si>
    <t> 21.08.1995 22:46 </t>
  </si>
  <si>
    <t> 0.0398 </t>
  </si>
  <si>
    <t> J. &amp; W.Moschner </t>
  </si>
  <si>
    <t>2450000.3616 </t>
  </si>
  <si>
    <t> 09.10.1995 20:40 </t>
  </si>
  <si>
    <t> 0.0377 </t>
  </si>
  <si>
    <t>2450005.2539 </t>
  </si>
  <si>
    <t> 14.10.1995 18:05 </t>
  </si>
  <si>
    <t> 0.0385 </t>
  </si>
  <si>
    <t>2450022.3774 </t>
  </si>
  <si>
    <t> 31.10.1995 21:03 </t>
  </si>
  <si>
    <t> 0.0420 </t>
  </si>
  <si>
    <t>2450750.3864 </t>
  </si>
  <si>
    <t> 28.10.1997 21:16 </t>
  </si>
  <si>
    <t> 0.0412 </t>
  </si>
  <si>
    <t>2451842.812 </t>
  </si>
  <si>
    <t> 25.10.2000 07:29 </t>
  </si>
  <si>
    <t> 0.045 </t>
  </si>
  <si>
    <t> R.Hill </t>
  </si>
  <si>
    <t>2452245.5409 </t>
  </si>
  <si>
    <t> 02.12.2001 00:58 </t>
  </si>
  <si>
    <t> 0.0446 </t>
  </si>
  <si>
    <t>C </t>
  </si>
  <si>
    <t>ns</t>
  </si>
  <si>
    <t>2452602.6192 </t>
  </si>
  <si>
    <t> 24.11.2002 02:51 </t>
  </si>
  <si>
    <t> 0.0476 </t>
  </si>
  <si>
    <t> S.Dvorak </t>
  </si>
  <si>
    <t>2452620.5526 </t>
  </si>
  <si>
    <t> 12.12.2002 01:15 </t>
  </si>
  <si>
    <t> 0.0457 </t>
  </si>
  <si>
    <t> G.Lubcke </t>
  </si>
  <si>
    <t>2453197.7442 </t>
  </si>
  <si>
    <t> 11.07.2004 05:51 </t>
  </si>
  <si>
    <t> 0.0470 </t>
  </si>
  <si>
    <t> H.Gerner </t>
  </si>
  <si>
    <t> AOEB 12 </t>
  </si>
  <si>
    <t>2453890.7017 </t>
  </si>
  <si>
    <t> 04.06.2006 04:50 </t>
  </si>
  <si>
    <t> 0.0501 </t>
  </si>
  <si>
    <t>2454001.5746 </t>
  </si>
  <si>
    <t> 23.09.2006 01:47 </t>
  </si>
  <si>
    <t> 0.0503 </t>
  </si>
  <si>
    <t>R</t>
  </si>
  <si>
    <t> JAAVSO 41;328 </t>
  </si>
  <si>
    <t>2454260.8224 </t>
  </si>
  <si>
    <t> 09.06.2007 07:44 </t>
  </si>
  <si>
    <t> 0.0516 </t>
  </si>
  <si>
    <t>2454296.6922 </t>
  </si>
  <si>
    <t> 15.07.2007 04:36 </t>
  </si>
  <si>
    <t> 0.0508 </t>
  </si>
  <si>
    <t>2454596.7026 </t>
  </si>
  <si>
    <t> 10.05.2008 04:51 </t>
  </si>
  <si>
    <t> 0.0527 </t>
  </si>
  <si>
    <t>JAAVSO 36(2);186 </t>
  </si>
  <si>
    <t>2454622.7902 </t>
  </si>
  <si>
    <t> 05.06.2008 06:57 </t>
  </si>
  <si>
    <t> 0.0526 </t>
  </si>
  <si>
    <t> J.Bialozynski </t>
  </si>
  <si>
    <t>2454702.6836 </t>
  </si>
  <si>
    <t> 24.08.2008 04:24 </t>
  </si>
  <si>
    <t> 0.0525 </t>
  </si>
  <si>
    <t>2454751.5979 </t>
  </si>
  <si>
    <t> 12.10.2008 02:20 </t>
  </si>
  <si>
    <t> 0.0523 </t>
  </si>
  <si>
    <t>JAAVSO 37(1),44 </t>
  </si>
  <si>
    <t>2455157.5900 </t>
  </si>
  <si>
    <t> 22.11.2009 02:09 </t>
  </si>
  <si>
    <t> 0.0547 </t>
  </si>
  <si>
    <t> JAAVSO 38;120 </t>
  </si>
  <si>
    <t>2455346.7256 </t>
  </si>
  <si>
    <t> 30.05.2010 05:24 </t>
  </si>
  <si>
    <t> 0.0545 </t>
  </si>
  <si>
    <t> JAAVSO 39;94 </t>
  </si>
  <si>
    <t>2455669.5635 </t>
  </si>
  <si>
    <t> 18.04.2011 01:31 </t>
  </si>
  <si>
    <t> 0.0571 </t>
  </si>
  <si>
    <t> W.Moschner &amp; P.Frank </t>
  </si>
  <si>
    <t>BAVM 220 </t>
  </si>
  <si>
    <t>2455747.8256 </t>
  </si>
  <si>
    <t> 05.07.2011 07:48 </t>
  </si>
  <si>
    <t> 0.0561 </t>
  </si>
  <si>
    <t> JAAVSO 40;975 </t>
  </si>
  <si>
    <t>2455775.5447 </t>
  </si>
  <si>
    <t> 02.08.2011 01:04 </t>
  </si>
  <si>
    <t>-I</t>
  </si>
  <si>
    <t> F.Agerer </t>
  </si>
  <si>
    <t>2455802.4455 </t>
  </si>
  <si>
    <t> 28.08.2011 22:41 </t>
  </si>
  <si>
    <t>13404.5</t>
  </si>
  <si>
    <t> 0.0549 </t>
  </si>
  <si>
    <t>BAVM 225 </t>
  </si>
  <si>
    <t>2456153.8171 </t>
  </si>
  <si>
    <t> 14.08.2012 07:36 </t>
  </si>
  <si>
    <t>13620</t>
  </si>
  <si>
    <t> 0.0579 </t>
  </si>
  <si>
    <t> K.Menzies </t>
  </si>
  <si>
    <t> JAAVSO 41;122 </t>
  </si>
  <si>
    <t>2456220.6692 </t>
  </si>
  <si>
    <t> 20.10.2012 04:03 </t>
  </si>
  <si>
    <t>13661</t>
  </si>
  <si>
    <t> 0.0603 </t>
  </si>
  <si>
    <t> R.Diethelm </t>
  </si>
  <si>
    <t>IBVS 6042 </t>
  </si>
  <si>
    <t>2456497.8494 </t>
  </si>
  <si>
    <t> 24.07.2013 08:23 </t>
  </si>
  <si>
    <t>13831</t>
  </si>
  <si>
    <t> 0.0587 </t>
  </si>
  <si>
    <t>JAVSO..43..238</t>
  </si>
  <si>
    <t>JAVSO..44..164</t>
  </si>
  <si>
    <t>JAVSO..45..121</t>
  </si>
  <si>
    <t>JAVSO..46..184</t>
  </si>
  <si>
    <t>JAVSO..48…87</t>
  </si>
  <si>
    <t>JAVSO 49, 108</t>
  </si>
  <si>
    <t>JAAVSO, 50, 133</t>
  </si>
  <si>
    <t>JAAVSO, 50, 255</t>
  </si>
  <si>
    <t>BAAVSSC195</t>
  </si>
  <si>
    <t>JAAVSO52#1</t>
  </si>
  <si>
    <t xml:space="preserve">Mag </t>
  </si>
  <si>
    <t>Next ToM-P</t>
  </si>
  <si>
    <t>Next ToM-S</t>
  </si>
  <si>
    <t>12.40-13.20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</si>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</sst>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3" fillId="0" borderId="1" applyNumberFormat="0" applyFont="0" applyFill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0" fillId="0" borderId="0" xfId="0" applyAlignment="1">
      <alignment horizontal="left"/>
    </xf>
    <xf numFmtId="0" fontId="9" fillId="0" borderId="5" xfId="0" applyFont="1" applyBorder="1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6" xfId="0" applyBorder="1">
      <alignment vertical="top"/>
    </xf>
    <xf numFmtId="0" fontId="10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1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21" fillId="2" borderId="13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18" fillId="0" borderId="0" xfId="0" applyFont="1" applyAlignme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5" fontId="26" fillId="0" borderId="0" xfId="0" applyNumberFormat="1" applyFont="1" applyAlignment="1">
      <alignment horizontal="left" vertical="center" wrapText="1"/>
    </xf>
    <xf numFmtId="165" fontId="27" fillId="0" borderId="0" xfId="0" applyNumberFormat="1" applyFont="1" applyAlignment="1">
      <alignment horizontal="left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/>
    </xf>
    <xf numFmtId="0" fontId="0" fillId="0" borderId="14" xfId="0" applyBorder="1">
      <alignment vertical="top"/>
    </xf>
    <xf numFmtId="0" fontId="26" fillId="0" borderId="17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22" fontId="29" fillId="0" borderId="18" xfId="0" applyNumberFormat="1" applyFont="1" applyBorder="1" applyAlignment="1">
      <alignment horizontal="right" vertical="center"/>
    </xf>
    <xf numFmtId="22" fontId="29" fillId="0" borderId="20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Cep - O-C Diagr.</a:t>
            </a:r>
          </a:p>
        </c:rich>
      </c:tx>
      <c:layout>
        <c:manualLayout>
          <c:xMode val="edge"/>
          <c:yMode val="edge"/>
          <c:x val="0.37641390948910058"/>
          <c:y val="3.3132376857800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Active!$C$21:$C$1979</c:f>
                <c:numCache>
                  <c:formatCode>General</c:formatCode>
                  <c:ptCount val="1959"/>
                  <c:pt idx="0">
                    <c:v>26332.246999999999</c:v>
                  </c:pt>
                  <c:pt idx="1">
                    <c:v>26350.222000000002</c:v>
                  </c:pt>
                  <c:pt idx="2">
                    <c:v>26627.427</c:v>
                  </c:pt>
                  <c:pt idx="3">
                    <c:v>28239.907999999999</c:v>
                  </c:pt>
                  <c:pt idx="4">
                    <c:v>28304.345000000001</c:v>
                  </c:pt>
                  <c:pt idx="5">
                    <c:v>33364.550999999999</c:v>
                  </c:pt>
                  <c:pt idx="6">
                    <c:v>33589.485000000001</c:v>
                  </c:pt>
                  <c:pt idx="7">
                    <c:v>33718.266000000003</c:v>
                  </c:pt>
                  <c:pt idx="8">
                    <c:v>33844.697999999997</c:v>
                  </c:pt>
                  <c:pt idx="9">
                    <c:v>33946.529000000002</c:v>
                  </c:pt>
                  <c:pt idx="10">
                    <c:v>33946.608</c:v>
                  </c:pt>
                  <c:pt idx="11">
                    <c:v>33946.629999999997</c:v>
                  </c:pt>
                  <c:pt idx="12">
                    <c:v>34036.245000000003</c:v>
                  </c:pt>
                  <c:pt idx="13">
                    <c:v>34078.616000000002</c:v>
                  </c:pt>
                  <c:pt idx="14">
                    <c:v>34096.559999999998</c:v>
                  </c:pt>
                  <c:pt idx="15">
                    <c:v>34098.302000000003</c:v>
                  </c:pt>
                  <c:pt idx="16">
                    <c:v>34114.527999999998</c:v>
                  </c:pt>
                  <c:pt idx="17">
                    <c:v>34119.432999999997</c:v>
                  </c:pt>
                  <c:pt idx="18">
                    <c:v>34119.485000000001</c:v>
                  </c:pt>
                  <c:pt idx="19">
                    <c:v>34419.442000000003</c:v>
                  </c:pt>
                  <c:pt idx="20">
                    <c:v>34485.478999999999</c:v>
                  </c:pt>
                  <c:pt idx="21">
                    <c:v>35023.54</c:v>
                  </c:pt>
                  <c:pt idx="22">
                    <c:v>35145.016000000003</c:v>
                  </c:pt>
                  <c:pt idx="23">
                    <c:v>36780.417999999998</c:v>
                  </c:pt>
                  <c:pt idx="24">
                    <c:v>36806.39</c:v>
                  </c:pt>
                  <c:pt idx="25">
                    <c:v>36842.341</c:v>
                  </c:pt>
                  <c:pt idx="26">
                    <c:v>36896.216999999997</c:v>
                  </c:pt>
                  <c:pt idx="27">
                    <c:v>36922.232000000004</c:v>
                  </c:pt>
                  <c:pt idx="28">
                    <c:v>37116.394999999997</c:v>
                  </c:pt>
                  <c:pt idx="29">
                    <c:v>37168.434000000001</c:v>
                  </c:pt>
                  <c:pt idx="30">
                    <c:v>37173.356</c:v>
                  </c:pt>
                  <c:pt idx="31">
                    <c:v>37253.224000000002</c:v>
                  </c:pt>
                  <c:pt idx="32">
                    <c:v>37468.421999999999</c:v>
                  </c:pt>
                  <c:pt idx="33">
                    <c:v>37499.461000000003</c:v>
                  </c:pt>
                  <c:pt idx="34">
                    <c:v>37517.375</c:v>
                  </c:pt>
                  <c:pt idx="35">
                    <c:v>37548.406000000003</c:v>
                  </c:pt>
                  <c:pt idx="36">
                    <c:v>37584.252</c:v>
                  </c:pt>
                  <c:pt idx="37">
                    <c:v>37615.222999999998</c:v>
                  </c:pt>
                  <c:pt idx="38">
                    <c:v>37641.207999999999</c:v>
                  </c:pt>
                  <c:pt idx="39">
                    <c:v>37659.22</c:v>
                  </c:pt>
                  <c:pt idx="40">
                    <c:v>37928.31</c:v>
                  </c:pt>
                  <c:pt idx="41">
                    <c:v>38316.32</c:v>
                  </c:pt>
                  <c:pt idx="42">
                    <c:v>43096.864000000001</c:v>
                  </c:pt>
                  <c:pt idx="43">
                    <c:v>43096.868000000002</c:v>
                  </c:pt>
                  <c:pt idx="44">
                    <c:v>43326.771999999997</c:v>
                  </c:pt>
                  <c:pt idx="45">
                    <c:v>43701.771000000001</c:v>
                  </c:pt>
                  <c:pt idx="46">
                    <c:v>44081.694000000003</c:v>
                  </c:pt>
                  <c:pt idx="47">
                    <c:v>44593.656999999999</c:v>
                  </c:pt>
                  <c:pt idx="48">
                    <c:v>45193.678</c:v>
                  </c:pt>
                  <c:pt idx="49">
                    <c:v>45643.686999999998</c:v>
                  </c:pt>
                  <c:pt idx="50">
                    <c:v>46804.607000000004</c:v>
                  </c:pt>
                  <c:pt idx="51">
                    <c:v>47681.792000000001</c:v>
                  </c:pt>
                  <c:pt idx="52">
                    <c:v>49933.5164</c:v>
                  </c:pt>
                  <c:pt idx="53">
                    <c:v>49951.4493</c:v>
                  </c:pt>
                  <c:pt idx="54">
                    <c:v>50000.361599999997</c:v>
                  </c:pt>
                  <c:pt idx="55">
                    <c:v>50005.253900000003</c:v>
                  </c:pt>
                  <c:pt idx="56">
                    <c:v>50022.377399999998</c:v>
                  </c:pt>
                  <c:pt idx="57">
                    <c:v>50750.386400000003</c:v>
                  </c:pt>
                  <c:pt idx="58">
                    <c:v>51842.811999999998</c:v>
                  </c:pt>
                  <c:pt idx="59">
                    <c:v>52245.5409</c:v>
                  </c:pt>
                  <c:pt idx="60">
                    <c:v>52602.619200000001</c:v>
                  </c:pt>
                  <c:pt idx="61">
                    <c:v>52620.552600000003</c:v>
                  </c:pt>
                  <c:pt idx="62">
                    <c:v>53197.744200000001</c:v>
                  </c:pt>
                  <c:pt idx="63">
                    <c:v>53890.701699999998</c:v>
                  </c:pt>
                  <c:pt idx="64">
                    <c:v>54001.5746</c:v>
                  </c:pt>
                  <c:pt idx="65">
                    <c:v>54260.822399999997</c:v>
                  </c:pt>
                  <c:pt idx="66">
                    <c:v>54296.692199999998</c:v>
                  </c:pt>
                  <c:pt idx="67">
                    <c:v>54596.702599999997</c:v>
                  </c:pt>
                  <c:pt idx="68">
                    <c:v>54622.790200000003</c:v>
                  </c:pt>
                  <c:pt idx="69">
                    <c:v>54702.683599999997</c:v>
                  </c:pt>
                  <c:pt idx="70">
                    <c:v>54751.597900000001</c:v>
                  </c:pt>
                  <c:pt idx="71">
                    <c:v>55157.59</c:v>
                  </c:pt>
                  <c:pt idx="72">
                    <c:v>55346.725599999998</c:v>
                  </c:pt>
                  <c:pt idx="73">
                    <c:v>55669.563499999997</c:v>
                  </c:pt>
                  <c:pt idx="74">
                    <c:v>55747.825599999996</c:v>
                  </c:pt>
                  <c:pt idx="75">
                    <c:v>55775.544699999999</c:v>
                  </c:pt>
                  <c:pt idx="76">
                    <c:v>55802.445500000002</c:v>
                  </c:pt>
                  <c:pt idx="77">
                    <c:v>56153.817199999998</c:v>
                  </c:pt>
                  <c:pt idx="78">
                    <c:v>56220.669199999997</c:v>
                  </c:pt>
                  <c:pt idx="79">
                    <c:v>56497.849000000002</c:v>
                  </c:pt>
                  <c:pt idx="80">
                    <c:v>56497.849399999999</c:v>
                  </c:pt>
                  <c:pt idx="81">
                    <c:v>57221.789199999999</c:v>
                  </c:pt>
                  <c:pt idx="82">
                    <c:v>57588.647499999999</c:v>
                  </c:pt>
                  <c:pt idx="83">
                    <c:v>57601.6895</c:v>
                  </c:pt>
                  <c:pt idx="84">
                    <c:v>57650.603000000003</c:v>
                  </c:pt>
                  <c:pt idx="85">
                    <c:v>57655.495699999999</c:v>
                  </c:pt>
                  <c:pt idx="86">
                    <c:v>58307.689599999998</c:v>
                  </c:pt>
                  <c:pt idx="87">
                    <c:v>58356.6037</c:v>
                  </c:pt>
                  <c:pt idx="88">
                    <c:v>58723.465300000003</c:v>
                  </c:pt>
                  <c:pt idx="89">
                    <c:v>58754.443099999997</c:v>
                  </c:pt>
                  <c:pt idx="90">
                    <c:v>59075.649100000002</c:v>
                  </c:pt>
                  <c:pt idx="91">
                    <c:v>59155.543400000002</c:v>
                  </c:pt>
                  <c:pt idx="92">
                    <c:v>59168.587099999997</c:v>
                  </c:pt>
                  <c:pt idx="93">
                    <c:v>59540.338000000003</c:v>
                  </c:pt>
                  <c:pt idx="94">
                    <c:v>59548.491399999999</c:v>
                  </c:pt>
                  <c:pt idx="95">
                    <c:v>59742.518809999805</c:v>
                  </c:pt>
                  <c:pt idx="96">
                    <c:v>59789.802600000003</c:v>
                  </c:pt>
                  <c:pt idx="97">
                    <c:v>60187.641900000002</c:v>
                  </c:pt>
                  <c:pt idx="98">
                    <c:v>60228.402800000003</c:v>
                  </c:pt>
                </c:numCache>
              </c:numRef>
            </c:plus>
            <c:minus>
              <c:numRef>
                <c:f>Active!$C$21:$C$1979</c:f>
                <c:numCache>
                  <c:formatCode>General</c:formatCode>
                  <c:ptCount val="1959"/>
                  <c:pt idx="0">
                    <c:v>26332.246999999999</c:v>
                  </c:pt>
                  <c:pt idx="1">
                    <c:v>26350.222000000002</c:v>
                  </c:pt>
                  <c:pt idx="2">
                    <c:v>26627.427</c:v>
                  </c:pt>
                  <c:pt idx="3">
                    <c:v>28239.907999999999</c:v>
                  </c:pt>
                  <c:pt idx="4">
                    <c:v>28304.345000000001</c:v>
                  </c:pt>
                  <c:pt idx="5">
                    <c:v>33364.550999999999</c:v>
                  </c:pt>
                  <c:pt idx="6">
                    <c:v>33589.485000000001</c:v>
                  </c:pt>
                  <c:pt idx="7">
                    <c:v>33718.266000000003</c:v>
                  </c:pt>
                  <c:pt idx="8">
                    <c:v>33844.697999999997</c:v>
                  </c:pt>
                  <c:pt idx="9">
                    <c:v>33946.529000000002</c:v>
                  </c:pt>
                  <c:pt idx="10">
                    <c:v>33946.608</c:v>
                  </c:pt>
                  <c:pt idx="11">
                    <c:v>33946.629999999997</c:v>
                  </c:pt>
                  <c:pt idx="12">
                    <c:v>34036.245000000003</c:v>
                  </c:pt>
                  <c:pt idx="13">
                    <c:v>34078.616000000002</c:v>
                  </c:pt>
                  <c:pt idx="14">
                    <c:v>34096.559999999998</c:v>
                  </c:pt>
                  <c:pt idx="15">
                    <c:v>34098.302000000003</c:v>
                  </c:pt>
                  <c:pt idx="16">
                    <c:v>34114.527999999998</c:v>
                  </c:pt>
                  <c:pt idx="17">
                    <c:v>34119.432999999997</c:v>
                  </c:pt>
                  <c:pt idx="18">
                    <c:v>34119.485000000001</c:v>
                  </c:pt>
                  <c:pt idx="19">
                    <c:v>34419.442000000003</c:v>
                  </c:pt>
                  <c:pt idx="20">
                    <c:v>34485.478999999999</c:v>
                  </c:pt>
                  <c:pt idx="21">
                    <c:v>35023.54</c:v>
                  </c:pt>
                  <c:pt idx="22">
                    <c:v>35145.016000000003</c:v>
                  </c:pt>
                  <c:pt idx="23">
                    <c:v>36780.417999999998</c:v>
                  </c:pt>
                  <c:pt idx="24">
                    <c:v>36806.39</c:v>
                  </c:pt>
                  <c:pt idx="25">
                    <c:v>36842.341</c:v>
                  </c:pt>
                  <c:pt idx="26">
                    <c:v>36896.216999999997</c:v>
                  </c:pt>
                  <c:pt idx="27">
                    <c:v>36922.232000000004</c:v>
                  </c:pt>
                  <c:pt idx="28">
                    <c:v>37116.394999999997</c:v>
                  </c:pt>
                  <c:pt idx="29">
                    <c:v>37168.434000000001</c:v>
                  </c:pt>
                  <c:pt idx="30">
                    <c:v>37173.356</c:v>
                  </c:pt>
                  <c:pt idx="31">
                    <c:v>37253.224000000002</c:v>
                  </c:pt>
                  <c:pt idx="32">
                    <c:v>37468.421999999999</c:v>
                  </c:pt>
                  <c:pt idx="33">
                    <c:v>37499.461000000003</c:v>
                  </c:pt>
                  <c:pt idx="34">
                    <c:v>37517.375</c:v>
                  </c:pt>
                  <c:pt idx="35">
                    <c:v>37548.406000000003</c:v>
                  </c:pt>
                  <c:pt idx="36">
                    <c:v>37584.252</c:v>
                  </c:pt>
                  <c:pt idx="37">
                    <c:v>37615.222999999998</c:v>
                  </c:pt>
                  <c:pt idx="38">
                    <c:v>37641.207999999999</c:v>
                  </c:pt>
                  <c:pt idx="39">
                    <c:v>37659.22</c:v>
                  </c:pt>
                  <c:pt idx="40">
                    <c:v>37928.31</c:v>
                  </c:pt>
                  <c:pt idx="41">
                    <c:v>38316.32</c:v>
                  </c:pt>
                  <c:pt idx="42">
                    <c:v>43096.864000000001</c:v>
                  </c:pt>
                  <c:pt idx="43">
                    <c:v>43096.868000000002</c:v>
                  </c:pt>
                  <c:pt idx="44">
                    <c:v>43326.771999999997</c:v>
                  </c:pt>
                  <c:pt idx="45">
                    <c:v>43701.771000000001</c:v>
                  </c:pt>
                  <c:pt idx="46">
                    <c:v>44081.694000000003</c:v>
                  </c:pt>
                  <c:pt idx="47">
                    <c:v>44593.656999999999</c:v>
                  </c:pt>
                  <c:pt idx="48">
                    <c:v>45193.678</c:v>
                  </c:pt>
                  <c:pt idx="49">
                    <c:v>45643.686999999998</c:v>
                  </c:pt>
                  <c:pt idx="50">
                    <c:v>46804.607000000004</c:v>
                  </c:pt>
                  <c:pt idx="51">
                    <c:v>47681.792000000001</c:v>
                  </c:pt>
                  <c:pt idx="52">
                    <c:v>49933.5164</c:v>
                  </c:pt>
                  <c:pt idx="53">
                    <c:v>49951.4493</c:v>
                  </c:pt>
                  <c:pt idx="54">
                    <c:v>50000.361599999997</c:v>
                  </c:pt>
                  <c:pt idx="55">
                    <c:v>50005.253900000003</c:v>
                  </c:pt>
                  <c:pt idx="56">
                    <c:v>50022.377399999998</c:v>
                  </c:pt>
                  <c:pt idx="57">
                    <c:v>50750.386400000003</c:v>
                  </c:pt>
                  <c:pt idx="58">
                    <c:v>51842.811999999998</c:v>
                  </c:pt>
                  <c:pt idx="59">
                    <c:v>52245.5409</c:v>
                  </c:pt>
                  <c:pt idx="60">
                    <c:v>52602.619200000001</c:v>
                  </c:pt>
                  <c:pt idx="61">
                    <c:v>52620.552600000003</c:v>
                  </c:pt>
                  <c:pt idx="62">
                    <c:v>53197.744200000001</c:v>
                  </c:pt>
                  <c:pt idx="63">
                    <c:v>53890.701699999998</c:v>
                  </c:pt>
                  <c:pt idx="64">
                    <c:v>54001.5746</c:v>
                  </c:pt>
                  <c:pt idx="65">
                    <c:v>54260.822399999997</c:v>
                  </c:pt>
                  <c:pt idx="66">
                    <c:v>54296.692199999998</c:v>
                  </c:pt>
                  <c:pt idx="67">
                    <c:v>54596.702599999997</c:v>
                  </c:pt>
                  <c:pt idx="68">
                    <c:v>54622.790200000003</c:v>
                  </c:pt>
                  <c:pt idx="69">
                    <c:v>54702.683599999997</c:v>
                  </c:pt>
                  <c:pt idx="70">
                    <c:v>54751.597900000001</c:v>
                  </c:pt>
                  <c:pt idx="71">
                    <c:v>55157.59</c:v>
                  </c:pt>
                  <c:pt idx="72">
                    <c:v>55346.725599999998</c:v>
                  </c:pt>
                  <c:pt idx="73">
                    <c:v>55669.563499999997</c:v>
                  </c:pt>
                  <c:pt idx="74">
                    <c:v>55747.825599999996</c:v>
                  </c:pt>
                  <c:pt idx="75">
                    <c:v>55775.544699999999</c:v>
                  </c:pt>
                  <c:pt idx="76">
                    <c:v>55802.445500000002</c:v>
                  </c:pt>
                  <c:pt idx="77">
                    <c:v>56153.817199999998</c:v>
                  </c:pt>
                  <c:pt idx="78">
                    <c:v>56220.669199999997</c:v>
                  </c:pt>
                  <c:pt idx="79">
                    <c:v>56497.849000000002</c:v>
                  </c:pt>
                  <c:pt idx="80">
                    <c:v>56497.849399999999</c:v>
                  </c:pt>
                  <c:pt idx="81">
                    <c:v>57221.789199999999</c:v>
                  </c:pt>
                  <c:pt idx="82">
                    <c:v>57588.647499999999</c:v>
                  </c:pt>
                  <c:pt idx="83">
                    <c:v>57601.6895</c:v>
                  </c:pt>
                  <c:pt idx="84">
                    <c:v>57650.603000000003</c:v>
                  </c:pt>
                  <c:pt idx="85">
                    <c:v>57655.495699999999</c:v>
                  </c:pt>
                  <c:pt idx="86">
                    <c:v>58307.689599999998</c:v>
                  </c:pt>
                  <c:pt idx="87">
                    <c:v>58356.6037</c:v>
                  </c:pt>
                  <c:pt idx="88">
                    <c:v>58723.465300000003</c:v>
                  </c:pt>
                  <c:pt idx="89">
                    <c:v>58754.443099999997</c:v>
                  </c:pt>
                  <c:pt idx="90">
                    <c:v>59075.649100000002</c:v>
                  </c:pt>
                  <c:pt idx="91">
                    <c:v>59155.543400000002</c:v>
                  </c:pt>
                  <c:pt idx="92">
                    <c:v>59168.587099999997</c:v>
                  </c:pt>
                  <c:pt idx="93">
                    <c:v>59540.338000000003</c:v>
                  </c:pt>
                  <c:pt idx="94">
                    <c:v>59548.491399999999</c:v>
                  </c:pt>
                  <c:pt idx="95">
                    <c:v>59742.518809999805</c:v>
                  </c:pt>
                  <c:pt idx="96">
                    <c:v>59789.802600000003</c:v>
                  </c:pt>
                  <c:pt idx="97">
                    <c:v>60187.641900000002</c:v>
                  </c:pt>
                  <c:pt idx="98">
                    <c:v>60228.402800000003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  <c:pt idx="0">
                  <c:v>1.9486000001052162E-2</c:v>
                </c:pt>
                <c:pt idx="1">
                  <c:v>5.9140000001207227E-2</c:v>
                </c:pt>
                <c:pt idx="2">
                  <c:v>8.1519999999727588E-2</c:v>
                </c:pt>
                <c:pt idx="3">
                  <c:v>1.1866000000736676E-2</c:v>
                </c:pt>
                <c:pt idx="4">
                  <c:v>4.4669000002613757E-2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5-48F2-BF66-56307BA7A4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</c:numCache>
              </c:numRef>
            </c:plus>
            <c:min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5">
                  <c:v>3.7367999997513834E-2</c:v>
                </c:pt>
                <c:pt idx="6">
                  <c:v>-3.5700000000360887E-2</c:v>
                </c:pt>
                <c:pt idx="7">
                  <c:v>-6.3093999997363426E-2</c:v>
                </c:pt>
                <c:pt idx="8">
                  <c:v>6.2409999954979867E-3</c:v>
                </c:pt>
                <c:pt idx="9">
                  <c:v>-6.8133999993733596E-2</c:v>
                </c:pt>
                <c:pt idx="11">
                  <c:v>3.286600000137696E-2</c:v>
                </c:pt>
                <c:pt idx="12">
                  <c:v>-2.8863999999884982E-2</c:v>
                </c:pt>
                <c:pt idx="13">
                  <c:v>-5.0499999997555278E-2</c:v>
                </c:pt>
                <c:pt idx="14">
                  <c:v>-4.1846000007353723E-2</c:v>
                </c:pt>
                <c:pt idx="15">
                  <c:v>6.9668000003730413E-2</c:v>
                </c:pt>
                <c:pt idx="16">
                  <c:v>-9.1920000049867667E-3</c:v>
                </c:pt>
                <c:pt idx="17">
                  <c:v>4.3499999956111424E-3</c:v>
                </c:pt>
                <c:pt idx="18">
                  <c:v>5.6349999998928979E-2</c:v>
                </c:pt>
                <c:pt idx="19">
                  <c:v>3.9259999975911342E-3</c:v>
                </c:pt>
                <c:pt idx="20">
                  <c:v>6.2430000034510158E-3</c:v>
                </c:pt>
                <c:pt idx="21">
                  <c:v>6.862999995064456E-3</c:v>
                </c:pt>
                <c:pt idx="22">
                  <c:v>1.1656000002403744E-2</c:v>
                </c:pt>
                <c:pt idx="23">
                  <c:v>3.6197999994328711E-2</c:v>
                </c:pt>
                <c:pt idx="24">
                  <c:v>-7.9578000004403293E-2</c:v>
                </c:pt>
                <c:pt idx="25">
                  <c:v>7.299999997485429E-4</c:v>
                </c:pt>
                <c:pt idx="26">
                  <c:v>7.0692000001145061E-2</c:v>
                </c:pt>
                <c:pt idx="27">
                  <c:v>-2.083999992464669E-3</c:v>
                </c:pt>
                <c:pt idx="28">
                  <c:v>0.13308199999300996</c:v>
                </c:pt>
                <c:pt idx="29">
                  <c:v>-3.470000003289897E-3</c:v>
                </c:pt>
                <c:pt idx="30">
                  <c:v>2.7071999997133389E-2</c:v>
                </c:pt>
                <c:pt idx="31">
                  <c:v>1.2580000038724393E-3</c:v>
                </c:pt>
                <c:pt idx="32">
                  <c:v>-2.4894000001950189E-2</c:v>
                </c:pt>
                <c:pt idx="33">
                  <c:v>3.4872000003815629E-2</c:v>
                </c:pt>
                <c:pt idx="34">
                  <c:v>1.3525999995181337E-2</c:v>
                </c:pt>
                <c:pt idx="35">
                  <c:v>6.5291999999317341E-2</c:v>
                </c:pt>
                <c:pt idx="36">
                  <c:v>4.0600000000267755E-2</c:v>
                </c:pt>
                <c:pt idx="37">
                  <c:v>3.2365999999456108E-2</c:v>
                </c:pt>
                <c:pt idx="38">
                  <c:v>-7.0410000000265427E-2</c:v>
                </c:pt>
                <c:pt idx="39">
                  <c:v>6.2440000037895516E-3</c:v>
                </c:pt>
                <c:pt idx="40">
                  <c:v>6.6053999995347112E-2</c:v>
                </c:pt>
                <c:pt idx="41">
                  <c:v>2.0385999996506143E-2</c:v>
                </c:pt>
                <c:pt idx="42">
                  <c:v>-2.0565999999234919E-2</c:v>
                </c:pt>
                <c:pt idx="43">
                  <c:v>-1.6565999998420011E-2</c:v>
                </c:pt>
                <c:pt idx="44">
                  <c:v>-1.1092000000644475E-2</c:v>
                </c:pt>
                <c:pt idx="45">
                  <c:v>-2.3871999997936655E-2</c:v>
                </c:pt>
                <c:pt idx="46">
                  <c:v>-4.1099999943980947E-3</c:v>
                </c:pt>
                <c:pt idx="47">
                  <c:v>-1.3714000000618398E-2</c:v>
                </c:pt>
                <c:pt idx="48">
                  <c:v>-1.1561999999685213E-2</c:v>
                </c:pt>
                <c:pt idx="49">
                  <c:v>-1.6697999999450985E-2</c:v>
                </c:pt>
                <c:pt idx="50">
                  <c:v>-2.7300000001559965E-3</c:v>
                </c:pt>
                <c:pt idx="51">
                  <c:v>-1.9198000001779292E-2</c:v>
                </c:pt>
                <c:pt idx="58">
                  <c:v>5.2999999752501026E-4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5-48F2-BF66-56307BA7A4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10">
                  <c:v>1.0866000004170928E-2</c:v>
                </c:pt>
                <c:pt idx="52">
                  <c:v>4.0359999984502792E-3</c:v>
                </c:pt>
                <c:pt idx="53">
                  <c:v>1.5899999998509884E-3</c:v>
                </c:pt>
                <c:pt idx="54">
                  <c:v>-6.9000000803498551E-4</c:v>
                </c:pt>
                <c:pt idx="55">
                  <c:v>1.5200000052573159E-4</c:v>
                </c:pt>
                <c:pt idx="56">
                  <c:v>3.5489999936544336E-3</c:v>
                </c:pt>
                <c:pt idx="57">
                  <c:v>5.5000000429572538E-4</c:v>
                </c:pt>
                <c:pt idx="73">
                  <c:v>1.3879999969503842E-3</c:v>
                </c:pt>
                <c:pt idx="75">
                  <c:v>9.9799999588867649E-4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75-48F2-BF66-56307BA7A4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59">
                  <c:v>-6.120000034570694E-4</c:v>
                </c:pt>
                <c:pt idx="60">
                  <c:v>1.2540000025182962E-3</c:v>
                </c:pt>
                <c:pt idx="61">
                  <c:v>-6.9200000143609941E-4</c:v>
                </c:pt>
                <c:pt idx="62">
                  <c:v>-1.1359999989508651E-3</c:v>
                </c:pt>
                <c:pt idx="63">
                  <c:v>-1.8600000475998968E-4</c:v>
                </c:pt>
                <c:pt idx="64">
                  <c:v>-3.3400000393157825E-4</c:v>
                </c:pt>
                <c:pt idx="65">
                  <c:v>1.9199999223928899E-4</c:v>
                </c:pt>
                <c:pt idx="66">
                  <c:v>-7.0000000414438546E-4</c:v>
                </c:pt>
                <c:pt idx="67">
                  <c:v>2.7599999157246202E-4</c:v>
                </c:pt>
                <c:pt idx="68">
                  <c:v>1.0000000474974513E-4</c:v>
                </c:pt>
                <c:pt idx="69">
                  <c:v>-3.1400000443682075E-4</c:v>
                </c:pt>
                <c:pt idx="70">
                  <c:v>-5.9400000463938341E-4</c:v>
                </c:pt>
                <c:pt idx="71">
                  <c:v>4.9199999193660915E-4</c:v>
                </c:pt>
                <c:pt idx="72">
                  <c:v>-2.8400000155670568E-4</c:v>
                </c:pt>
                <c:pt idx="74">
                  <c:v>1.5999999595806003E-4</c:v>
                </c:pt>
                <c:pt idx="76">
                  <c:v>-1.2209999986225739E-3</c:v>
                </c:pt>
                <c:pt idx="77">
                  <c:v>7.4599999788915738E-4</c:v>
                </c:pt>
                <c:pt idx="78">
                  <c:v>2.8199999942444265E-3</c:v>
                </c:pt>
                <c:pt idx="79">
                  <c:v>0</c:v>
                </c:pt>
                <c:pt idx="80">
                  <c:v>3.9999999717110768E-4</c:v>
                </c:pt>
                <c:pt idx="81">
                  <c:v>4.4159999961266294E-3</c:v>
                </c:pt>
                <c:pt idx="82">
                  <c:v>3.3659999971860088E-3</c:v>
                </c:pt>
                <c:pt idx="83">
                  <c:v>1.4779999983147718E-3</c:v>
                </c:pt>
                <c:pt idx="84">
                  <c:v>3.9800000376999378E-4</c:v>
                </c:pt>
                <c:pt idx="85">
                  <c:v>1.6399999949499033E-3</c:v>
                </c:pt>
                <c:pt idx="86">
                  <c:v>1.1399999930290505E-3</c:v>
                </c:pt>
                <c:pt idx="87">
                  <c:v>6.5999999787891284E-4</c:v>
                </c:pt>
                <c:pt idx="88">
                  <c:v>2.9100000028847717E-3</c:v>
                </c:pt>
                <c:pt idx="89">
                  <c:v>1.4759999976377003E-3</c:v>
                </c:pt>
                <c:pt idx="90">
                  <c:v>1.7339999976684339E-3</c:v>
                </c:pt>
                <c:pt idx="91">
                  <c:v>2.2200000021257438E-3</c:v>
                </c:pt>
                <c:pt idx="92">
                  <c:v>2.0319999966886826E-3</c:v>
                </c:pt>
                <c:pt idx="93">
                  <c:v>2.1239999987301417E-3</c:v>
                </c:pt>
                <c:pt idx="94">
                  <c:v>3.0939999996917322E-3</c:v>
                </c:pt>
                <c:pt idx="95">
                  <c:v>2.6699998052208684E-3</c:v>
                </c:pt>
                <c:pt idx="96">
                  <c:v>2.3660000006202608E-3</c:v>
                </c:pt>
                <c:pt idx="97">
                  <c:v>3.0820000029052608E-3</c:v>
                </c:pt>
                <c:pt idx="98">
                  <c:v>1.8320000017411076E-3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75-48F2-BF66-56307BA7A4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75-48F2-BF66-56307BA7A4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75-48F2-BF66-56307BA7A4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75-48F2-BF66-56307BA7A4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-3.9670852394932321E-3</c:v>
                </c:pt>
                <c:pt idx="1">
                  <c:v>-3.96399292697165E-3</c:v>
                </c:pt>
                <c:pt idx="2">
                  <c:v>-3.9162026425472035E-3</c:v>
                </c:pt>
                <c:pt idx="3">
                  <c:v>-3.638175634924982E-3</c:v>
                </c:pt>
                <c:pt idx="4">
                  <c:v>-3.6270714217793015E-3</c:v>
                </c:pt>
                <c:pt idx="5">
                  <c:v>-2.7546176117130075E-3</c:v>
                </c:pt>
                <c:pt idx="6">
                  <c:v>-2.7158231455331619E-3</c:v>
                </c:pt>
                <c:pt idx="7">
                  <c:v>-2.693614719241802E-3</c:v>
                </c:pt>
                <c:pt idx="8">
                  <c:v>-2.6718279719306565E-3</c:v>
                </c:pt>
                <c:pt idx="9">
                  <c:v>-2.6542580144216692E-3</c:v>
                </c:pt>
                <c:pt idx="10">
                  <c:v>-2.6542580144216692E-3</c:v>
                </c:pt>
                <c:pt idx="11">
                  <c:v>-2.6542580144216692E-3</c:v>
                </c:pt>
                <c:pt idx="12">
                  <c:v>-2.6387964518137597E-3</c:v>
                </c:pt>
                <c:pt idx="13">
                  <c:v>-2.6314873494900212E-3</c:v>
                </c:pt>
                <c:pt idx="14">
                  <c:v>-2.6283950369684391E-3</c:v>
                </c:pt>
                <c:pt idx="15">
                  <c:v>-2.6281139176482955E-3</c:v>
                </c:pt>
                <c:pt idx="16">
                  <c:v>-2.625302724446857E-3</c:v>
                </c:pt>
                <c:pt idx="17">
                  <c:v>-2.6244593664864263E-3</c:v>
                </c:pt>
                <c:pt idx="18">
                  <c:v>-2.6244593664864263E-3</c:v>
                </c:pt>
                <c:pt idx="19">
                  <c:v>-2.5727334115799661E-3</c:v>
                </c:pt>
                <c:pt idx="20">
                  <c:v>-2.5613480791141421E-3</c:v>
                </c:pt>
                <c:pt idx="21">
                  <c:v>-2.4685787034666867E-3</c:v>
                </c:pt>
                <c:pt idx="22">
                  <c:v>-2.4476353141159738E-3</c:v>
                </c:pt>
                <c:pt idx="23">
                  <c:v>-2.1656726360117385E-3</c:v>
                </c:pt>
                <c:pt idx="24">
                  <c:v>-2.1611747268894376E-3</c:v>
                </c:pt>
                <c:pt idx="25">
                  <c:v>-2.1549901018462735E-3</c:v>
                </c:pt>
                <c:pt idx="26">
                  <c:v>-2.1457131642815281E-3</c:v>
                </c:pt>
                <c:pt idx="27">
                  <c:v>-2.1412152551592272E-3</c:v>
                </c:pt>
                <c:pt idx="28">
                  <c:v>-2.107762056062115E-3</c:v>
                </c:pt>
                <c:pt idx="29">
                  <c:v>-2.0987662378175133E-3</c:v>
                </c:pt>
                <c:pt idx="30">
                  <c:v>-2.0979228798570816E-3</c:v>
                </c:pt>
                <c:pt idx="31">
                  <c:v>-2.0841480331700354E-3</c:v>
                </c:pt>
                <c:pt idx="32">
                  <c:v>-2.0470402829110531E-3</c:v>
                </c:pt>
                <c:pt idx="33">
                  <c:v>-2.0416990158283214E-3</c:v>
                </c:pt>
                <c:pt idx="34">
                  <c:v>-2.0386067033067393E-3</c:v>
                </c:pt>
                <c:pt idx="35">
                  <c:v>-2.0332654362240068E-3</c:v>
                </c:pt>
                <c:pt idx="36">
                  <c:v>-2.0270808111808435E-3</c:v>
                </c:pt>
                <c:pt idx="37">
                  <c:v>-2.021739544098111E-3</c:v>
                </c:pt>
                <c:pt idx="38">
                  <c:v>-2.0172416349758101E-3</c:v>
                </c:pt>
                <c:pt idx="39">
                  <c:v>-2.014149322454228E-3</c:v>
                </c:pt>
                <c:pt idx="40">
                  <c:v>-1.9677646346305004E-3</c:v>
                </c:pt>
                <c:pt idx="41">
                  <c:v>-1.9008582364362754E-3</c:v>
                </c:pt>
                <c:pt idx="42">
                  <c:v>-1.0766163897746432E-3</c:v>
                </c:pt>
                <c:pt idx="43">
                  <c:v>-1.0766163897746432E-3</c:v>
                </c:pt>
                <c:pt idx="44">
                  <c:v>-1.0369785656343669E-3</c:v>
                </c:pt>
                <c:pt idx="45">
                  <c:v>-9.7232112200129205E-4</c:v>
                </c:pt>
                <c:pt idx="46">
                  <c:v>-9.0682032040778605E-4</c:v>
                </c:pt>
                <c:pt idx="47">
                  <c:v>-8.1854885388263159E-4</c:v>
                </c:pt>
                <c:pt idx="48">
                  <c:v>-7.1509694406971186E-4</c:v>
                </c:pt>
                <c:pt idx="49">
                  <c:v>-6.3750801171002223E-4</c:v>
                </c:pt>
                <c:pt idx="50">
                  <c:v>-4.373510557676341E-4</c:v>
                </c:pt>
                <c:pt idx="51">
                  <c:v>-2.8610886153026768E-4</c:v>
                </c:pt>
                <c:pt idx="52">
                  <c:v>1.0211691958832494E-4</c:v>
                </c:pt>
                <c:pt idx="53">
                  <c:v>1.052092321099068E-4</c:v>
                </c:pt>
                <c:pt idx="54">
                  <c:v>1.1364281171422097E-4</c:v>
                </c:pt>
                <c:pt idx="55">
                  <c:v>1.1448616967465238E-4</c:v>
                </c:pt>
                <c:pt idx="56">
                  <c:v>1.1743792253616223E-4</c:v>
                </c:pt>
                <c:pt idx="57">
                  <c:v>2.4295769898037057E-4</c:v>
                </c:pt>
                <c:pt idx="58">
                  <c:v>4.3130764347671898E-4</c:v>
                </c:pt>
                <c:pt idx="59">
                  <c:v>5.0074411555223847E-4</c:v>
                </c:pt>
                <c:pt idx="60">
                  <c:v>5.6230924666373153E-4</c:v>
                </c:pt>
                <c:pt idx="61">
                  <c:v>5.6540155918531328E-4</c:v>
                </c:pt>
                <c:pt idx="62">
                  <c:v>6.6491779851621984E-4</c:v>
                </c:pt>
                <c:pt idx="63">
                  <c:v>7.8439350957733626E-4</c:v>
                </c:pt>
                <c:pt idx="64">
                  <c:v>8.0350962334711502E-4</c:v>
                </c:pt>
                <c:pt idx="65">
                  <c:v>8.4820759524997975E-4</c:v>
                </c:pt>
                <c:pt idx="66">
                  <c:v>8.5439222029314336E-4</c:v>
                </c:pt>
                <c:pt idx="67">
                  <c:v>9.0611817519960333E-4</c:v>
                </c:pt>
                <c:pt idx="68">
                  <c:v>9.1061608432190411E-4</c:v>
                </c:pt>
                <c:pt idx="69">
                  <c:v>9.2439093100895047E-4</c:v>
                </c:pt>
                <c:pt idx="70">
                  <c:v>9.3282451061326463E-4</c:v>
                </c:pt>
                <c:pt idx="71">
                  <c:v>1.0028232213290717E-3</c:v>
                </c:pt>
                <c:pt idx="72">
                  <c:v>1.0354330624657529E-3</c:v>
                </c:pt>
                <c:pt idx="73">
                  <c:v>1.091094687854226E-3</c:v>
                </c:pt>
                <c:pt idx="74">
                  <c:v>1.1045884152211286E-3</c:v>
                </c:pt>
                <c:pt idx="75">
                  <c:v>1.1093674436635733E-3</c:v>
                </c:pt>
                <c:pt idx="76">
                  <c:v>1.114005912445946E-3</c:v>
                </c:pt>
                <c:pt idx="77">
                  <c:v>1.1745871259369357E-3</c:v>
                </c:pt>
                <c:pt idx="78">
                  <c:v>1.1861130180628315E-3</c:v>
                </c:pt>
                <c:pt idx="79">
                  <c:v>1.2339033024872782E-3</c:v>
                </c:pt>
                <c:pt idx="80">
                  <c:v>1.2339033024872782E-3</c:v>
                </c:pt>
                <c:pt idx="81">
                  <c:v>1.358720280631127E-3</c:v>
                </c:pt>
                <c:pt idx="82">
                  <c:v>1.4219721276634827E-3</c:v>
                </c:pt>
                <c:pt idx="83">
                  <c:v>1.4242210822246332E-3</c:v>
                </c:pt>
                <c:pt idx="84">
                  <c:v>1.4326546618289473E-3</c:v>
                </c:pt>
                <c:pt idx="85">
                  <c:v>1.4334980197893787E-3</c:v>
                </c:pt>
                <c:pt idx="86">
                  <c:v>1.5459457478469002E-3</c:v>
                </c:pt>
                <c:pt idx="87">
                  <c:v>1.5543793274512144E-3</c:v>
                </c:pt>
                <c:pt idx="88">
                  <c:v>1.6176311744835702E-3</c:v>
                </c:pt>
                <c:pt idx="89">
                  <c:v>1.6229724415663025E-3</c:v>
                </c:pt>
                <c:pt idx="90">
                  <c:v>1.6783529476346317E-3</c:v>
                </c:pt>
                <c:pt idx="91">
                  <c:v>1.6921277943216782E-3</c:v>
                </c:pt>
                <c:pt idx="92">
                  <c:v>1.6943767488828286E-3</c:v>
                </c:pt>
                <c:pt idx="93">
                  <c:v>1.7584719538756158E-3</c:v>
                </c:pt>
                <c:pt idx="94">
                  <c:v>1.7598775504763346E-3</c:v>
                </c:pt>
                <c:pt idx="95">
                  <c:v>1.7933307495734472E-3</c:v>
                </c:pt>
                <c:pt idx="96">
                  <c:v>1.8014832098576176E-3</c:v>
                </c:pt>
                <c:pt idx="97">
                  <c:v>1.8700763239727057E-3</c:v>
                </c:pt>
                <c:pt idx="98">
                  <c:v>1.8771043069763008E-3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75-48F2-BF66-56307BA7A43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Active!$R$21:$R$978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75-48F2-BF66-56307BA7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68024"/>
        <c:axId val="1"/>
      </c:scatterChart>
      <c:valAx>
        <c:axId val="68236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4036133520119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4129108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6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2168687503019175"/>
          <c:w val="0.75282781897820117"/>
          <c:h val="6.0240890134132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Cep - O-C Diagr.</a:t>
            </a:r>
          </a:p>
        </c:rich>
      </c:tx>
      <c:layout>
        <c:manualLayout>
          <c:xMode val="edge"/>
          <c:yMode val="edge"/>
          <c:x val="0.37580645161290321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  <c:pt idx="0">
                  <c:v>1.9486000001052162E-2</c:v>
                </c:pt>
                <c:pt idx="1">
                  <c:v>5.9140000001207227E-2</c:v>
                </c:pt>
                <c:pt idx="2">
                  <c:v>8.1519999999727588E-2</c:v>
                </c:pt>
                <c:pt idx="3">
                  <c:v>1.1866000000736676E-2</c:v>
                </c:pt>
                <c:pt idx="4">
                  <c:v>4.4669000002613757E-2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5-49E3-957A-5109BA0878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</c:numCache>
              </c:numRef>
            </c:plus>
            <c:min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5">
                  <c:v>3.7367999997513834E-2</c:v>
                </c:pt>
                <c:pt idx="6">
                  <c:v>-3.5700000000360887E-2</c:v>
                </c:pt>
                <c:pt idx="7">
                  <c:v>-6.3093999997363426E-2</c:v>
                </c:pt>
                <c:pt idx="8">
                  <c:v>6.2409999954979867E-3</c:v>
                </c:pt>
                <c:pt idx="9">
                  <c:v>-6.8133999993733596E-2</c:v>
                </c:pt>
                <c:pt idx="11">
                  <c:v>3.286600000137696E-2</c:v>
                </c:pt>
                <c:pt idx="12">
                  <c:v>-2.8863999999884982E-2</c:v>
                </c:pt>
                <c:pt idx="13">
                  <c:v>-5.0499999997555278E-2</c:v>
                </c:pt>
                <c:pt idx="14">
                  <c:v>-4.1846000007353723E-2</c:v>
                </c:pt>
                <c:pt idx="15">
                  <c:v>6.9668000003730413E-2</c:v>
                </c:pt>
                <c:pt idx="16">
                  <c:v>-9.1920000049867667E-3</c:v>
                </c:pt>
                <c:pt idx="17">
                  <c:v>4.3499999956111424E-3</c:v>
                </c:pt>
                <c:pt idx="18">
                  <c:v>5.6349999998928979E-2</c:v>
                </c:pt>
                <c:pt idx="19">
                  <c:v>3.9259999975911342E-3</c:v>
                </c:pt>
                <c:pt idx="20">
                  <c:v>6.2430000034510158E-3</c:v>
                </c:pt>
                <c:pt idx="21">
                  <c:v>6.862999995064456E-3</c:v>
                </c:pt>
                <c:pt idx="22">
                  <c:v>1.1656000002403744E-2</c:v>
                </c:pt>
                <c:pt idx="23">
                  <c:v>3.6197999994328711E-2</c:v>
                </c:pt>
                <c:pt idx="24">
                  <c:v>-7.9578000004403293E-2</c:v>
                </c:pt>
                <c:pt idx="25">
                  <c:v>7.299999997485429E-4</c:v>
                </c:pt>
                <c:pt idx="26">
                  <c:v>7.0692000001145061E-2</c:v>
                </c:pt>
                <c:pt idx="27">
                  <c:v>-2.083999992464669E-3</c:v>
                </c:pt>
                <c:pt idx="28">
                  <c:v>0.13308199999300996</c:v>
                </c:pt>
                <c:pt idx="29">
                  <c:v>-3.470000003289897E-3</c:v>
                </c:pt>
                <c:pt idx="30">
                  <c:v>2.7071999997133389E-2</c:v>
                </c:pt>
                <c:pt idx="31">
                  <c:v>1.2580000038724393E-3</c:v>
                </c:pt>
                <c:pt idx="32">
                  <c:v>-2.4894000001950189E-2</c:v>
                </c:pt>
                <c:pt idx="33">
                  <c:v>3.4872000003815629E-2</c:v>
                </c:pt>
                <c:pt idx="34">
                  <c:v>1.3525999995181337E-2</c:v>
                </c:pt>
                <c:pt idx="35">
                  <c:v>6.5291999999317341E-2</c:v>
                </c:pt>
                <c:pt idx="36">
                  <c:v>4.0600000000267755E-2</c:v>
                </c:pt>
                <c:pt idx="37">
                  <c:v>3.2365999999456108E-2</c:v>
                </c:pt>
                <c:pt idx="38">
                  <c:v>-7.0410000000265427E-2</c:v>
                </c:pt>
                <c:pt idx="39">
                  <c:v>6.2440000037895516E-3</c:v>
                </c:pt>
                <c:pt idx="40">
                  <c:v>6.6053999995347112E-2</c:v>
                </c:pt>
                <c:pt idx="41">
                  <c:v>2.0385999996506143E-2</c:v>
                </c:pt>
                <c:pt idx="42">
                  <c:v>-2.0565999999234919E-2</c:v>
                </c:pt>
                <c:pt idx="43">
                  <c:v>-1.6565999998420011E-2</c:v>
                </c:pt>
                <c:pt idx="44">
                  <c:v>-1.1092000000644475E-2</c:v>
                </c:pt>
                <c:pt idx="45">
                  <c:v>-2.3871999997936655E-2</c:v>
                </c:pt>
                <c:pt idx="46">
                  <c:v>-4.1099999943980947E-3</c:v>
                </c:pt>
                <c:pt idx="47">
                  <c:v>-1.3714000000618398E-2</c:v>
                </c:pt>
                <c:pt idx="48">
                  <c:v>-1.1561999999685213E-2</c:v>
                </c:pt>
                <c:pt idx="49">
                  <c:v>-1.6697999999450985E-2</c:v>
                </c:pt>
                <c:pt idx="50">
                  <c:v>-2.7300000001559965E-3</c:v>
                </c:pt>
                <c:pt idx="51">
                  <c:v>-1.9198000001779292E-2</c:v>
                </c:pt>
                <c:pt idx="58">
                  <c:v>5.2999999752501026E-4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5-49E3-957A-5109BA0878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10">
                  <c:v>1.0866000004170928E-2</c:v>
                </c:pt>
                <c:pt idx="52">
                  <c:v>4.0359999984502792E-3</c:v>
                </c:pt>
                <c:pt idx="53">
                  <c:v>1.5899999998509884E-3</c:v>
                </c:pt>
                <c:pt idx="54">
                  <c:v>-6.9000000803498551E-4</c:v>
                </c:pt>
                <c:pt idx="55">
                  <c:v>1.5200000052573159E-4</c:v>
                </c:pt>
                <c:pt idx="56">
                  <c:v>3.5489999936544336E-3</c:v>
                </c:pt>
                <c:pt idx="57">
                  <c:v>5.5000000429572538E-4</c:v>
                </c:pt>
                <c:pt idx="73">
                  <c:v>1.3879999969503842E-3</c:v>
                </c:pt>
                <c:pt idx="75">
                  <c:v>9.9799999588867649E-4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95-49E3-957A-5109BA0878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59">
                  <c:v>-6.120000034570694E-4</c:v>
                </c:pt>
                <c:pt idx="60">
                  <c:v>1.2540000025182962E-3</c:v>
                </c:pt>
                <c:pt idx="61">
                  <c:v>-6.9200000143609941E-4</c:v>
                </c:pt>
                <c:pt idx="62">
                  <c:v>-1.1359999989508651E-3</c:v>
                </c:pt>
                <c:pt idx="63">
                  <c:v>-1.8600000475998968E-4</c:v>
                </c:pt>
                <c:pt idx="64">
                  <c:v>-3.3400000393157825E-4</c:v>
                </c:pt>
                <c:pt idx="65">
                  <c:v>1.9199999223928899E-4</c:v>
                </c:pt>
                <c:pt idx="66">
                  <c:v>-7.0000000414438546E-4</c:v>
                </c:pt>
                <c:pt idx="67">
                  <c:v>2.7599999157246202E-4</c:v>
                </c:pt>
                <c:pt idx="68">
                  <c:v>1.0000000474974513E-4</c:v>
                </c:pt>
                <c:pt idx="69">
                  <c:v>-3.1400000443682075E-4</c:v>
                </c:pt>
                <c:pt idx="70">
                  <c:v>-5.9400000463938341E-4</c:v>
                </c:pt>
                <c:pt idx="71">
                  <c:v>4.9199999193660915E-4</c:v>
                </c:pt>
                <c:pt idx="72">
                  <c:v>-2.8400000155670568E-4</c:v>
                </c:pt>
                <c:pt idx="74">
                  <c:v>1.5999999595806003E-4</c:v>
                </c:pt>
                <c:pt idx="76">
                  <c:v>-1.2209999986225739E-3</c:v>
                </c:pt>
                <c:pt idx="77">
                  <c:v>7.4599999788915738E-4</c:v>
                </c:pt>
                <c:pt idx="78">
                  <c:v>2.8199999942444265E-3</c:v>
                </c:pt>
                <c:pt idx="79">
                  <c:v>0</c:v>
                </c:pt>
                <c:pt idx="80">
                  <c:v>3.9999999717110768E-4</c:v>
                </c:pt>
                <c:pt idx="81">
                  <c:v>4.4159999961266294E-3</c:v>
                </c:pt>
                <c:pt idx="82">
                  <c:v>3.3659999971860088E-3</c:v>
                </c:pt>
                <c:pt idx="83">
                  <c:v>1.4779999983147718E-3</c:v>
                </c:pt>
                <c:pt idx="84">
                  <c:v>3.9800000376999378E-4</c:v>
                </c:pt>
                <c:pt idx="85">
                  <c:v>1.6399999949499033E-3</c:v>
                </c:pt>
                <c:pt idx="86">
                  <c:v>1.1399999930290505E-3</c:v>
                </c:pt>
                <c:pt idx="87">
                  <c:v>6.5999999787891284E-4</c:v>
                </c:pt>
                <c:pt idx="88">
                  <c:v>2.9100000028847717E-3</c:v>
                </c:pt>
                <c:pt idx="89">
                  <c:v>1.4759999976377003E-3</c:v>
                </c:pt>
                <c:pt idx="90">
                  <c:v>1.7339999976684339E-3</c:v>
                </c:pt>
                <c:pt idx="91">
                  <c:v>2.2200000021257438E-3</c:v>
                </c:pt>
                <c:pt idx="92">
                  <c:v>2.0319999966886826E-3</c:v>
                </c:pt>
                <c:pt idx="93">
                  <c:v>2.1239999987301417E-3</c:v>
                </c:pt>
                <c:pt idx="94">
                  <c:v>3.0939999996917322E-3</c:v>
                </c:pt>
                <c:pt idx="95">
                  <c:v>2.6699998052208684E-3</c:v>
                </c:pt>
                <c:pt idx="96">
                  <c:v>2.3660000006202608E-3</c:v>
                </c:pt>
                <c:pt idx="97">
                  <c:v>3.0820000029052608E-3</c:v>
                </c:pt>
                <c:pt idx="98">
                  <c:v>1.8320000017411076E-3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95-49E3-957A-5109BA0878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95-49E3-957A-5109BA0878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95-49E3-957A-5109BA0878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95-49E3-957A-5109BA0878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-3.9670852394932321E-3</c:v>
                </c:pt>
                <c:pt idx="1">
                  <c:v>-3.96399292697165E-3</c:v>
                </c:pt>
                <c:pt idx="2">
                  <c:v>-3.9162026425472035E-3</c:v>
                </c:pt>
                <c:pt idx="3">
                  <c:v>-3.638175634924982E-3</c:v>
                </c:pt>
                <c:pt idx="4">
                  <c:v>-3.6270714217793015E-3</c:v>
                </c:pt>
                <c:pt idx="5">
                  <c:v>-2.7546176117130075E-3</c:v>
                </c:pt>
                <c:pt idx="6">
                  <c:v>-2.7158231455331619E-3</c:v>
                </c:pt>
                <c:pt idx="7">
                  <c:v>-2.693614719241802E-3</c:v>
                </c:pt>
                <c:pt idx="8">
                  <c:v>-2.6718279719306565E-3</c:v>
                </c:pt>
                <c:pt idx="9">
                  <c:v>-2.6542580144216692E-3</c:v>
                </c:pt>
                <c:pt idx="10">
                  <c:v>-2.6542580144216692E-3</c:v>
                </c:pt>
                <c:pt idx="11">
                  <c:v>-2.6542580144216692E-3</c:v>
                </c:pt>
                <c:pt idx="12">
                  <c:v>-2.6387964518137597E-3</c:v>
                </c:pt>
                <c:pt idx="13">
                  <c:v>-2.6314873494900212E-3</c:v>
                </c:pt>
                <c:pt idx="14">
                  <c:v>-2.6283950369684391E-3</c:v>
                </c:pt>
                <c:pt idx="15">
                  <c:v>-2.6281139176482955E-3</c:v>
                </c:pt>
                <c:pt idx="16">
                  <c:v>-2.625302724446857E-3</c:v>
                </c:pt>
                <c:pt idx="17">
                  <c:v>-2.6244593664864263E-3</c:v>
                </c:pt>
                <c:pt idx="18">
                  <c:v>-2.6244593664864263E-3</c:v>
                </c:pt>
                <c:pt idx="19">
                  <c:v>-2.5727334115799661E-3</c:v>
                </c:pt>
                <c:pt idx="20">
                  <c:v>-2.5613480791141421E-3</c:v>
                </c:pt>
                <c:pt idx="21">
                  <c:v>-2.4685787034666867E-3</c:v>
                </c:pt>
                <c:pt idx="22">
                  <c:v>-2.4476353141159738E-3</c:v>
                </c:pt>
                <c:pt idx="23">
                  <c:v>-2.1656726360117385E-3</c:v>
                </c:pt>
                <c:pt idx="24">
                  <c:v>-2.1611747268894376E-3</c:v>
                </c:pt>
                <c:pt idx="25">
                  <c:v>-2.1549901018462735E-3</c:v>
                </c:pt>
                <c:pt idx="26">
                  <c:v>-2.1457131642815281E-3</c:v>
                </c:pt>
                <c:pt idx="27">
                  <c:v>-2.1412152551592272E-3</c:v>
                </c:pt>
                <c:pt idx="28">
                  <c:v>-2.107762056062115E-3</c:v>
                </c:pt>
                <c:pt idx="29">
                  <c:v>-2.0987662378175133E-3</c:v>
                </c:pt>
                <c:pt idx="30">
                  <c:v>-2.0979228798570816E-3</c:v>
                </c:pt>
                <c:pt idx="31">
                  <c:v>-2.0841480331700354E-3</c:v>
                </c:pt>
                <c:pt idx="32">
                  <c:v>-2.0470402829110531E-3</c:v>
                </c:pt>
                <c:pt idx="33">
                  <c:v>-2.0416990158283214E-3</c:v>
                </c:pt>
                <c:pt idx="34">
                  <c:v>-2.0386067033067393E-3</c:v>
                </c:pt>
                <c:pt idx="35">
                  <c:v>-2.0332654362240068E-3</c:v>
                </c:pt>
                <c:pt idx="36">
                  <c:v>-2.0270808111808435E-3</c:v>
                </c:pt>
                <c:pt idx="37">
                  <c:v>-2.021739544098111E-3</c:v>
                </c:pt>
                <c:pt idx="38">
                  <c:v>-2.0172416349758101E-3</c:v>
                </c:pt>
                <c:pt idx="39">
                  <c:v>-2.014149322454228E-3</c:v>
                </c:pt>
                <c:pt idx="40">
                  <c:v>-1.9677646346305004E-3</c:v>
                </c:pt>
                <c:pt idx="41">
                  <c:v>-1.9008582364362754E-3</c:v>
                </c:pt>
                <c:pt idx="42">
                  <c:v>-1.0766163897746432E-3</c:v>
                </c:pt>
                <c:pt idx="43">
                  <c:v>-1.0766163897746432E-3</c:v>
                </c:pt>
                <c:pt idx="44">
                  <c:v>-1.0369785656343669E-3</c:v>
                </c:pt>
                <c:pt idx="45">
                  <c:v>-9.7232112200129205E-4</c:v>
                </c:pt>
                <c:pt idx="46">
                  <c:v>-9.0682032040778605E-4</c:v>
                </c:pt>
                <c:pt idx="47">
                  <c:v>-8.1854885388263159E-4</c:v>
                </c:pt>
                <c:pt idx="48">
                  <c:v>-7.1509694406971186E-4</c:v>
                </c:pt>
                <c:pt idx="49">
                  <c:v>-6.3750801171002223E-4</c:v>
                </c:pt>
                <c:pt idx="50">
                  <c:v>-4.373510557676341E-4</c:v>
                </c:pt>
                <c:pt idx="51">
                  <c:v>-2.8610886153026768E-4</c:v>
                </c:pt>
                <c:pt idx="52">
                  <c:v>1.0211691958832494E-4</c:v>
                </c:pt>
                <c:pt idx="53">
                  <c:v>1.052092321099068E-4</c:v>
                </c:pt>
                <c:pt idx="54">
                  <c:v>1.1364281171422097E-4</c:v>
                </c:pt>
                <c:pt idx="55">
                  <c:v>1.1448616967465238E-4</c:v>
                </c:pt>
                <c:pt idx="56">
                  <c:v>1.1743792253616223E-4</c:v>
                </c:pt>
                <c:pt idx="57">
                  <c:v>2.4295769898037057E-4</c:v>
                </c:pt>
                <c:pt idx="58">
                  <c:v>4.3130764347671898E-4</c:v>
                </c:pt>
                <c:pt idx="59">
                  <c:v>5.0074411555223847E-4</c:v>
                </c:pt>
                <c:pt idx="60">
                  <c:v>5.6230924666373153E-4</c:v>
                </c:pt>
                <c:pt idx="61">
                  <c:v>5.6540155918531328E-4</c:v>
                </c:pt>
                <c:pt idx="62">
                  <c:v>6.6491779851621984E-4</c:v>
                </c:pt>
                <c:pt idx="63">
                  <c:v>7.8439350957733626E-4</c:v>
                </c:pt>
                <c:pt idx="64">
                  <c:v>8.0350962334711502E-4</c:v>
                </c:pt>
                <c:pt idx="65">
                  <c:v>8.4820759524997975E-4</c:v>
                </c:pt>
                <c:pt idx="66">
                  <c:v>8.5439222029314336E-4</c:v>
                </c:pt>
                <c:pt idx="67">
                  <c:v>9.0611817519960333E-4</c:v>
                </c:pt>
                <c:pt idx="68">
                  <c:v>9.1061608432190411E-4</c:v>
                </c:pt>
                <c:pt idx="69">
                  <c:v>9.2439093100895047E-4</c:v>
                </c:pt>
                <c:pt idx="70">
                  <c:v>9.3282451061326463E-4</c:v>
                </c:pt>
                <c:pt idx="71">
                  <c:v>1.0028232213290717E-3</c:v>
                </c:pt>
                <c:pt idx="72">
                  <c:v>1.0354330624657529E-3</c:v>
                </c:pt>
                <c:pt idx="73">
                  <c:v>1.091094687854226E-3</c:v>
                </c:pt>
                <c:pt idx="74">
                  <c:v>1.1045884152211286E-3</c:v>
                </c:pt>
                <c:pt idx="75">
                  <c:v>1.1093674436635733E-3</c:v>
                </c:pt>
                <c:pt idx="76">
                  <c:v>1.114005912445946E-3</c:v>
                </c:pt>
                <c:pt idx="77">
                  <c:v>1.1745871259369357E-3</c:v>
                </c:pt>
                <c:pt idx="78">
                  <c:v>1.1861130180628315E-3</c:v>
                </c:pt>
                <c:pt idx="79">
                  <c:v>1.2339033024872782E-3</c:v>
                </c:pt>
                <c:pt idx="80">
                  <c:v>1.2339033024872782E-3</c:v>
                </c:pt>
                <c:pt idx="81">
                  <c:v>1.358720280631127E-3</c:v>
                </c:pt>
                <c:pt idx="82">
                  <c:v>1.4219721276634827E-3</c:v>
                </c:pt>
                <c:pt idx="83">
                  <c:v>1.4242210822246332E-3</c:v>
                </c:pt>
                <c:pt idx="84">
                  <c:v>1.4326546618289473E-3</c:v>
                </c:pt>
                <c:pt idx="85">
                  <c:v>1.4334980197893787E-3</c:v>
                </c:pt>
                <c:pt idx="86">
                  <c:v>1.5459457478469002E-3</c:v>
                </c:pt>
                <c:pt idx="87">
                  <c:v>1.5543793274512144E-3</c:v>
                </c:pt>
                <c:pt idx="88">
                  <c:v>1.6176311744835702E-3</c:v>
                </c:pt>
                <c:pt idx="89">
                  <c:v>1.6229724415663025E-3</c:v>
                </c:pt>
                <c:pt idx="90">
                  <c:v>1.6783529476346317E-3</c:v>
                </c:pt>
                <c:pt idx="91">
                  <c:v>1.6921277943216782E-3</c:v>
                </c:pt>
                <c:pt idx="92">
                  <c:v>1.6943767488828286E-3</c:v>
                </c:pt>
                <c:pt idx="93">
                  <c:v>1.7584719538756158E-3</c:v>
                </c:pt>
                <c:pt idx="94">
                  <c:v>1.7598775504763346E-3</c:v>
                </c:pt>
                <c:pt idx="95">
                  <c:v>1.7933307495734472E-3</c:v>
                </c:pt>
                <c:pt idx="96">
                  <c:v>1.8014832098576176E-3</c:v>
                </c:pt>
                <c:pt idx="97">
                  <c:v>1.8700763239727057E-3</c:v>
                </c:pt>
                <c:pt idx="98">
                  <c:v>1.8771043069763008E-3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95-49E3-957A-5109BA0878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-18501</c:v>
                </c:pt>
                <c:pt idx="1">
                  <c:v>-18490</c:v>
                </c:pt>
                <c:pt idx="2">
                  <c:v>-18320</c:v>
                </c:pt>
                <c:pt idx="3">
                  <c:v>-17331</c:v>
                </c:pt>
                <c:pt idx="4">
                  <c:v>-17291.5</c:v>
                </c:pt>
                <c:pt idx="5">
                  <c:v>-14188</c:v>
                </c:pt>
                <c:pt idx="6">
                  <c:v>-14050</c:v>
                </c:pt>
                <c:pt idx="7">
                  <c:v>-13971</c:v>
                </c:pt>
                <c:pt idx="8">
                  <c:v>-13893.5</c:v>
                </c:pt>
                <c:pt idx="9">
                  <c:v>-13831</c:v>
                </c:pt>
                <c:pt idx="10">
                  <c:v>-13831</c:v>
                </c:pt>
                <c:pt idx="11">
                  <c:v>-13831</c:v>
                </c:pt>
                <c:pt idx="12">
                  <c:v>-13776</c:v>
                </c:pt>
                <c:pt idx="13">
                  <c:v>-13750</c:v>
                </c:pt>
                <c:pt idx="14">
                  <c:v>-13739</c:v>
                </c:pt>
                <c:pt idx="15">
                  <c:v>-13738</c:v>
                </c:pt>
                <c:pt idx="16">
                  <c:v>-13728</c:v>
                </c:pt>
                <c:pt idx="17">
                  <c:v>-13725</c:v>
                </c:pt>
                <c:pt idx="18">
                  <c:v>-13725</c:v>
                </c:pt>
                <c:pt idx="19">
                  <c:v>-13541</c:v>
                </c:pt>
                <c:pt idx="20">
                  <c:v>-13500.5</c:v>
                </c:pt>
                <c:pt idx="21">
                  <c:v>-13170.5</c:v>
                </c:pt>
                <c:pt idx="22">
                  <c:v>-13096</c:v>
                </c:pt>
                <c:pt idx="23">
                  <c:v>-12093</c:v>
                </c:pt>
                <c:pt idx="24">
                  <c:v>-12077</c:v>
                </c:pt>
                <c:pt idx="25">
                  <c:v>-12055</c:v>
                </c:pt>
                <c:pt idx="26">
                  <c:v>-12022</c:v>
                </c:pt>
                <c:pt idx="27">
                  <c:v>-12006</c:v>
                </c:pt>
                <c:pt idx="28">
                  <c:v>-11887</c:v>
                </c:pt>
                <c:pt idx="29">
                  <c:v>-11855</c:v>
                </c:pt>
                <c:pt idx="30">
                  <c:v>-11852</c:v>
                </c:pt>
                <c:pt idx="31">
                  <c:v>-11803</c:v>
                </c:pt>
                <c:pt idx="32">
                  <c:v>-11671</c:v>
                </c:pt>
                <c:pt idx="33">
                  <c:v>-11652</c:v>
                </c:pt>
                <c:pt idx="34">
                  <c:v>-11641</c:v>
                </c:pt>
                <c:pt idx="35">
                  <c:v>-11622</c:v>
                </c:pt>
                <c:pt idx="36">
                  <c:v>-11600</c:v>
                </c:pt>
                <c:pt idx="37">
                  <c:v>-11581</c:v>
                </c:pt>
                <c:pt idx="38">
                  <c:v>-11565</c:v>
                </c:pt>
                <c:pt idx="39">
                  <c:v>-11554</c:v>
                </c:pt>
                <c:pt idx="40">
                  <c:v>-11389</c:v>
                </c:pt>
                <c:pt idx="41">
                  <c:v>-11151</c:v>
                </c:pt>
                <c:pt idx="42">
                  <c:v>-8219</c:v>
                </c:pt>
                <c:pt idx="43">
                  <c:v>-8219</c:v>
                </c:pt>
                <c:pt idx="44">
                  <c:v>-8078</c:v>
                </c:pt>
                <c:pt idx="45">
                  <c:v>-7848</c:v>
                </c:pt>
                <c:pt idx="46">
                  <c:v>-7615</c:v>
                </c:pt>
                <c:pt idx="47">
                  <c:v>-7301</c:v>
                </c:pt>
                <c:pt idx="48">
                  <c:v>-6933</c:v>
                </c:pt>
                <c:pt idx="49">
                  <c:v>-6657</c:v>
                </c:pt>
                <c:pt idx="50">
                  <c:v>-5945</c:v>
                </c:pt>
                <c:pt idx="51">
                  <c:v>-5407</c:v>
                </c:pt>
                <c:pt idx="52">
                  <c:v>-4026</c:v>
                </c:pt>
                <c:pt idx="53">
                  <c:v>-4015</c:v>
                </c:pt>
                <c:pt idx="54">
                  <c:v>-3985</c:v>
                </c:pt>
                <c:pt idx="55">
                  <c:v>-3982</c:v>
                </c:pt>
                <c:pt idx="56">
                  <c:v>-3971.5</c:v>
                </c:pt>
                <c:pt idx="57">
                  <c:v>-3525</c:v>
                </c:pt>
                <c:pt idx="58">
                  <c:v>-2855</c:v>
                </c:pt>
                <c:pt idx="59">
                  <c:v>-2608</c:v>
                </c:pt>
                <c:pt idx="60">
                  <c:v>-2389</c:v>
                </c:pt>
                <c:pt idx="61">
                  <c:v>-2378</c:v>
                </c:pt>
                <c:pt idx="62">
                  <c:v>-2024</c:v>
                </c:pt>
                <c:pt idx="63">
                  <c:v>-1599</c:v>
                </c:pt>
                <c:pt idx="64">
                  <c:v>-1531</c:v>
                </c:pt>
                <c:pt idx="65">
                  <c:v>-1372</c:v>
                </c:pt>
                <c:pt idx="66">
                  <c:v>-1350</c:v>
                </c:pt>
                <c:pt idx="67">
                  <c:v>-1166</c:v>
                </c:pt>
                <c:pt idx="68">
                  <c:v>-1150</c:v>
                </c:pt>
                <c:pt idx="69">
                  <c:v>-1101</c:v>
                </c:pt>
                <c:pt idx="70">
                  <c:v>-1071</c:v>
                </c:pt>
                <c:pt idx="71">
                  <c:v>-822</c:v>
                </c:pt>
                <c:pt idx="72">
                  <c:v>-706</c:v>
                </c:pt>
                <c:pt idx="73">
                  <c:v>-508</c:v>
                </c:pt>
                <c:pt idx="74">
                  <c:v>-460</c:v>
                </c:pt>
                <c:pt idx="75">
                  <c:v>-443</c:v>
                </c:pt>
                <c:pt idx="76">
                  <c:v>-426.5</c:v>
                </c:pt>
                <c:pt idx="77">
                  <c:v>-211</c:v>
                </c:pt>
                <c:pt idx="78">
                  <c:v>-170</c:v>
                </c:pt>
                <c:pt idx="79">
                  <c:v>0</c:v>
                </c:pt>
                <c:pt idx="80">
                  <c:v>0</c:v>
                </c:pt>
                <c:pt idx="81">
                  <c:v>444</c:v>
                </c:pt>
                <c:pt idx="82">
                  <c:v>669</c:v>
                </c:pt>
                <c:pt idx="83">
                  <c:v>677</c:v>
                </c:pt>
                <c:pt idx="84">
                  <c:v>707</c:v>
                </c:pt>
                <c:pt idx="85">
                  <c:v>710</c:v>
                </c:pt>
                <c:pt idx="86">
                  <c:v>1110</c:v>
                </c:pt>
                <c:pt idx="87">
                  <c:v>1140</c:v>
                </c:pt>
                <c:pt idx="88">
                  <c:v>1365</c:v>
                </c:pt>
                <c:pt idx="89">
                  <c:v>1384</c:v>
                </c:pt>
                <c:pt idx="90">
                  <c:v>1581</c:v>
                </c:pt>
                <c:pt idx="91">
                  <c:v>1630</c:v>
                </c:pt>
                <c:pt idx="92">
                  <c:v>1638</c:v>
                </c:pt>
                <c:pt idx="93">
                  <c:v>1866</c:v>
                </c:pt>
                <c:pt idx="94">
                  <c:v>1871</c:v>
                </c:pt>
                <c:pt idx="95">
                  <c:v>1990</c:v>
                </c:pt>
                <c:pt idx="96">
                  <c:v>2019</c:v>
                </c:pt>
                <c:pt idx="97">
                  <c:v>2263</c:v>
                </c:pt>
                <c:pt idx="98">
                  <c:v>2288</c:v>
                </c:pt>
              </c:numCache>
            </c:numRef>
          </c:xVal>
          <c:yVal>
            <c:numRef>
              <c:f>Active!$R$21:$R$978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95-49E3-957A-5109BA08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63104"/>
        <c:axId val="1"/>
      </c:scatterChart>
      <c:valAx>
        <c:axId val="682363104"/>
        <c:scaling>
          <c:orientation val="minMax"/>
          <c:max val="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42668175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6158668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6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35483870967741"/>
          <c:y val="0.92192475940507435"/>
          <c:w val="0.75161290322580643"/>
          <c:h val="6.0060519957941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238125</xdr:colOff>
      <xdr:row>18</xdr:row>
      <xdr:rowOff>9525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A7074611-ED38-8385-C125-E5616130E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26</xdr:col>
      <xdr:colOff>647700</xdr:colOff>
      <xdr:row>17</xdr:row>
      <xdr:rowOff>152400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44B73C0-7459-3DEF-50D7-DAC14EDD7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aavso.org/sites/default/files/jaavso/v36n2/186.pdf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32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32" TargetMode="External"/><Relationship Id="rId10" Type="http://schemas.openxmlformats.org/officeDocument/2006/relationships/hyperlink" Target="http://www.aavso.org/sites/default/files/jaavso/v37n1/7(1),44.pdf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3"/>
  <sheetViews>
    <sheetView tabSelected="1" workbookViewId="0">
      <pane xSplit="14" ySplit="22" topLeftCell="O10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>
      <c r="A2" t="s">
        <v>24</v>
      </c>
      <c r="B2" s="10" t="s">
        <v>31</v>
      </c>
      <c r="D2" s="11" t="s">
        <v>33</v>
      </c>
    </row>
    <row r="3" spans="1:6" ht="13.5" thickBot="1"/>
    <row r="4" spans="1:6" ht="13.5" thickBot="1">
      <c r="A4" s="4" t="s">
        <v>1</v>
      </c>
      <c r="C4" s="7">
        <v>33946.608</v>
      </c>
      <c r="D4" s="8">
        <v>1.6304810000000001</v>
      </c>
    </row>
    <row r="5" spans="1:6">
      <c r="A5" s="12" t="s">
        <v>34</v>
      </c>
      <c r="B5" s="13"/>
      <c r="C5" s="14">
        <v>-9.5</v>
      </c>
      <c r="D5" s="13" t="s">
        <v>35</v>
      </c>
    </row>
    <row r="6" spans="1:6">
      <c r="A6" s="4" t="s">
        <v>2</v>
      </c>
    </row>
    <row r="7" spans="1:6">
      <c r="A7" t="s">
        <v>3</v>
      </c>
      <c r="C7">
        <v>56497.849000000002</v>
      </c>
      <c r="D7" s="89" t="s">
        <v>351</v>
      </c>
      <c r="E7">
        <v>33946.608</v>
      </c>
    </row>
    <row r="8" spans="1:6">
      <c r="A8" t="s">
        <v>4</v>
      </c>
      <c r="C8">
        <v>1.6304860000000001</v>
      </c>
      <c r="D8" s="89" t="s">
        <v>351</v>
      </c>
      <c r="E8">
        <v>1.6304810000000001</v>
      </c>
    </row>
    <row r="9" spans="1:6">
      <c r="A9" s="26" t="s">
        <v>39</v>
      </c>
      <c r="B9" s="27">
        <v>73</v>
      </c>
      <c r="C9" s="17" t="str">
        <f>"F"&amp;B9</f>
        <v>F73</v>
      </c>
      <c r="D9" s="18" t="str">
        <f>"G"&amp;B9</f>
        <v>G73</v>
      </c>
    </row>
    <row r="10" spans="1:6" ht="13.5" thickBot="1">
      <c r="A10" s="13"/>
      <c r="B10" s="13"/>
      <c r="C10" s="3" t="s">
        <v>20</v>
      </c>
      <c r="D10" s="3" t="s">
        <v>21</v>
      </c>
      <c r="E10" s="13"/>
    </row>
    <row r="11" spans="1:6">
      <c r="A11" s="13" t="s">
        <v>16</v>
      </c>
      <c r="B11" s="13"/>
      <c r="C11" s="15">
        <f ca="1">INTERCEPT(INDIRECT($D$9):G986,INDIRECT($C$9):F986)</f>
        <v>1.2339033024872782E-3</v>
      </c>
      <c r="D11" s="16"/>
      <c r="E11" s="13"/>
    </row>
    <row r="12" spans="1:6">
      <c r="A12" s="13" t="s">
        <v>17</v>
      </c>
      <c r="B12" s="13"/>
      <c r="C12" s="15">
        <f ca="1">SLOPE(INDIRECT($D$9):G986,INDIRECT($C$9):F986)</f>
        <v>2.8111932014380358E-7</v>
      </c>
      <c r="D12" s="16"/>
      <c r="E12" s="83" t="s">
        <v>347</v>
      </c>
      <c r="F12" s="84" t="s">
        <v>350</v>
      </c>
    </row>
    <row r="13" spans="1:6">
      <c r="A13" s="13" t="s">
        <v>19</v>
      </c>
      <c r="B13" s="13"/>
      <c r="C13" s="16" t="s">
        <v>36</v>
      </c>
      <c r="E13" s="81" t="s">
        <v>42</v>
      </c>
      <c r="F13" s="86">
        <v>1</v>
      </c>
    </row>
    <row r="14" spans="1:6">
      <c r="A14" s="13"/>
      <c r="B14" s="13"/>
      <c r="C14" s="13"/>
      <c r="E14" s="81" t="s">
        <v>37</v>
      </c>
      <c r="F14" s="85">
        <f ca="1">NOW()+15018.5+$C$5/24</f>
        <v>60574.814943634257</v>
      </c>
    </row>
    <row r="15" spans="1:6">
      <c r="A15" s="19" t="s">
        <v>18</v>
      </c>
      <c r="B15" s="13"/>
      <c r="C15" s="20">
        <f ca="1">(C7+C11)+(C8+C12)*INT(MAX(F21:F3527))</f>
        <v>60228.402845104312</v>
      </c>
      <c r="E15" s="81" t="s">
        <v>43</v>
      </c>
      <c r="F15" s="85">
        <f ca="1">ROUND(2*($F$14-$C$7)/$C$8,0)/2+$F$13</f>
        <v>2501.5</v>
      </c>
    </row>
    <row r="16" spans="1:6">
      <c r="A16" s="22" t="s">
        <v>5</v>
      </c>
      <c r="B16" s="13"/>
      <c r="C16" s="23">
        <f ca="1">+C8+C12</f>
        <v>1.6304862811193201</v>
      </c>
      <c r="E16" s="81" t="s">
        <v>38</v>
      </c>
      <c r="F16" s="85">
        <f ca="1">ROUND(2*($F$14-$C$15)/$C$16,0)/2+$F$13</f>
        <v>213.5</v>
      </c>
    </row>
    <row r="17" spans="1:18" ht="13.5" thickBot="1">
      <c r="A17" s="21" t="s">
        <v>30</v>
      </c>
      <c r="B17" s="13"/>
      <c r="C17" s="13">
        <f>COUNT(C21:C2185)</f>
        <v>99</v>
      </c>
      <c r="E17" s="81" t="s">
        <v>348</v>
      </c>
      <c r="F17" s="87">
        <f ca="1">+$C$15+$C$16*$F$16-15018.5-$C$5/24</f>
        <v>45558.407499456625</v>
      </c>
    </row>
    <row r="18" spans="1:18" ht="14.25" thickTop="1" thickBot="1">
      <c r="A18" s="22" t="s">
        <v>6</v>
      </c>
      <c r="B18" s="13"/>
      <c r="C18" s="25">
        <f ca="1">+C15</f>
        <v>60228.402845104312</v>
      </c>
      <c r="D18" s="80">
        <f ca="1">+C16</f>
        <v>1.6304862811193201</v>
      </c>
      <c r="E18" s="82" t="s">
        <v>349</v>
      </c>
      <c r="F18" s="88">
        <f ca="1">+($C$15+$C$16*$F$16)-($C$16/2)-15018.5-$C$5/24</f>
        <v>45557.592256316064</v>
      </c>
    </row>
    <row r="19" spans="1:18" ht="13.5" thickTop="1">
      <c r="E19" s="21"/>
      <c r="F19" s="24"/>
    </row>
    <row r="20" spans="1:18" ht="13.5" thickBot="1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60</v>
      </c>
      <c r="I20" s="6" t="s">
        <v>63</v>
      </c>
      <c r="J20" s="6" t="s">
        <v>57</v>
      </c>
      <c r="K20" s="6" t="s">
        <v>55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36" t="s">
        <v>49</v>
      </c>
    </row>
    <row r="21" spans="1:18">
      <c r="A21" s="55" t="s">
        <v>71</v>
      </c>
      <c r="B21" s="56" t="s">
        <v>29</v>
      </c>
      <c r="C21" s="55">
        <v>26332.246999999999</v>
      </c>
      <c r="D21" s="55" t="s">
        <v>63</v>
      </c>
      <c r="E21">
        <f>+(C21-C$7)/C$8</f>
        <v>-18500.988048962088</v>
      </c>
      <c r="F21">
        <f>ROUND(2*E21,0)/2</f>
        <v>-18501</v>
      </c>
      <c r="G21">
        <f>+C21-(C$7+F21*C$8)</f>
        <v>1.9486000001052162E-2</v>
      </c>
      <c r="H21">
        <f>+G21</f>
        <v>1.9486000001052162E-2</v>
      </c>
      <c r="O21">
        <f ca="1">+C$11+C$12*$F21</f>
        <v>-3.9670852394932321E-3</v>
      </c>
      <c r="Q21" s="2">
        <f>+C21-15018.5</f>
        <v>11313.746999999999</v>
      </c>
    </row>
    <row r="22" spans="1:18">
      <c r="A22" s="55" t="s">
        <v>71</v>
      </c>
      <c r="B22" s="56" t="s">
        <v>29</v>
      </c>
      <c r="C22" s="55">
        <v>26350.222000000002</v>
      </c>
      <c r="D22" s="55" t="s">
        <v>63</v>
      </c>
      <c r="E22">
        <f>+(C22-C$7)/C$8</f>
        <v>-18489.963728606072</v>
      </c>
      <c r="F22">
        <f>ROUND(2*E22,0)/2</f>
        <v>-18490</v>
      </c>
      <c r="G22">
        <f>+C22-(C$7+F22*C$8)</f>
        <v>5.9140000001207227E-2</v>
      </c>
      <c r="H22">
        <f>+G22</f>
        <v>5.9140000001207227E-2</v>
      </c>
      <c r="O22">
        <f ca="1">+C$11+C$12*$F22</f>
        <v>-3.96399292697165E-3</v>
      </c>
      <c r="Q22" s="2">
        <f>+C22-15018.5</f>
        <v>11331.722000000002</v>
      </c>
    </row>
    <row r="23" spans="1:18">
      <c r="A23" s="55" t="s">
        <v>71</v>
      </c>
      <c r="B23" s="56" t="s">
        <v>29</v>
      </c>
      <c r="C23" s="55">
        <v>26627.427</v>
      </c>
      <c r="D23" s="55" t="s">
        <v>63</v>
      </c>
      <c r="E23">
        <f>+(C23-C$7)/C$8</f>
        <v>-18319.950002637252</v>
      </c>
      <c r="F23">
        <f>ROUND(2*E23,0)/2</f>
        <v>-18320</v>
      </c>
      <c r="G23">
        <f>+C23-(C$7+F23*C$8)</f>
        <v>8.1519999999727588E-2</v>
      </c>
      <c r="H23">
        <f>+G23</f>
        <v>8.1519999999727588E-2</v>
      </c>
      <c r="O23">
        <f ca="1">+C$11+C$12*$F23</f>
        <v>-3.9162026425472035E-3</v>
      </c>
      <c r="Q23" s="2">
        <f>+C23-15018.5</f>
        <v>11608.927</v>
      </c>
    </row>
    <row r="24" spans="1:18">
      <c r="A24" s="55" t="s">
        <v>82</v>
      </c>
      <c r="B24" s="56" t="s">
        <v>29</v>
      </c>
      <c r="C24" s="55">
        <v>28239.907999999999</v>
      </c>
      <c r="D24" s="55" t="s">
        <v>63</v>
      </c>
      <c r="E24">
        <f>+(C24-C$7)/C$8</f>
        <v>-17330.992722415282</v>
      </c>
      <c r="F24">
        <f>ROUND(2*E24,0)/2</f>
        <v>-17331</v>
      </c>
      <c r="G24">
        <f>+C24-(C$7+F24*C$8)</f>
        <v>1.1866000000736676E-2</v>
      </c>
      <c r="H24">
        <f>+G24</f>
        <v>1.1866000000736676E-2</v>
      </c>
      <c r="O24">
        <f ca="1">+C$11+C$12*$F24</f>
        <v>-3.638175634924982E-3</v>
      </c>
      <c r="Q24" s="2">
        <f>+C24-15018.5</f>
        <v>13221.407999999999</v>
      </c>
    </row>
    <row r="25" spans="1:18">
      <c r="A25" s="55" t="s">
        <v>82</v>
      </c>
      <c r="B25" s="56" t="s">
        <v>41</v>
      </c>
      <c r="C25" s="55">
        <v>28304.345000000001</v>
      </c>
      <c r="D25" s="55" t="s">
        <v>63</v>
      </c>
      <c r="E25">
        <f>+(C25-C$7)/C$8</f>
        <v>-17291.472603873935</v>
      </c>
      <c r="F25">
        <f>ROUND(2*E25,0)/2</f>
        <v>-17291.5</v>
      </c>
      <c r="G25">
        <f>+C25-(C$7+F25*C$8)</f>
        <v>4.4669000002613757E-2</v>
      </c>
      <c r="H25">
        <f>+G25</f>
        <v>4.4669000002613757E-2</v>
      </c>
      <c r="O25">
        <f ca="1">+C$11+C$12*$F25</f>
        <v>-3.6270714217793015E-3</v>
      </c>
      <c r="Q25" s="2">
        <f>+C25-15018.5</f>
        <v>13285.845000000001</v>
      </c>
    </row>
    <row r="26" spans="1:18">
      <c r="A26" s="55" t="s">
        <v>89</v>
      </c>
      <c r="B26" s="56" t="s">
        <v>41</v>
      </c>
      <c r="C26" s="55">
        <v>33364.550999999999</v>
      </c>
      <c r="D26" s="55" t="s">
        <v>63</v>
      </c>
      <c r="E26">
        <f>+(C26-C$7)/C$8</f>
        <v>-14187.977081679941</v>
      </c>
      <c r="F26">
        <f>ROUND(2*E26,0)/2</f>
        <v>-14188</v>
      </c>
      <c r="G26">
        <f>+C26-(C$7+F26*C$8)</f>
        <v>3.7367999997513834E-2</v>
      </c>
      <c r="I26">
        <f>+G26</f>
        <v>3.7367999997513834E-2</v>
      </c>
      <c r="O26">
        <f ca="1">+C$11+C$12*$F26</f>
        <v>-2.7546176117130075E-3</v>
      </c>
      <c r="Q26" s="2">
        <f>+C26-15018.5</f>
        <v>18346.050999999999</v>
      </c>
    </row>
    <row r="27" spans="1:18">
      <c r="A27" s="55" t="s">
        <v>89</v>
      </c>
      <c r="B27" s="56" t="s">
        <v>41</v>
      </c>
      <c r="C27" s="55">
        <v>33589.485000000001</v>
      </c>
      <c r="D27" s="55" t="s">
        <v>63</v>
      </c>
      <c r="E27">
        <f>+(C27-C$7)/C$8</f>
        <v>-14050.021895312195</v>
      </c>
      <c r="F27">
        <f>ROUND(2*E27,0)/2</f>
        <v>-14050</v>
      </c>
      <c r="G27">
        <f>+C27-(C$7+F27*C$8)</f>
        <v>-3.5700000000360887E-2</v>
      </c>
      <c r="I27">
        <f>+G27</f>
        <v>-3.5700000000360887E-2</v>
      </c>
      <c r="O27">
        <f ca="1">+C$11+C$12*$F27</f>
        <v>-2.7158231455331619E-3</v>
      </c>
      <c r="Q27" s="2">
        <f>+C27-15018.5</f>
        <v>18570.985000000001</v>
      </c>
    </row>
    <row r="28" spans="1:18">
      <c r="A28" s="55" t="s">
        <v>89</v>
      </c>
      <c r="B28" s="56" t="s">
        <v>41</v>
      </c>
      <c r="C28" s="55">
        <v>33718.266000000003</v>
      </c>
      <c r="D28" s="55" t="s">
        <v>63</v>
      </c>
      <c r="E28">
        <f>+(C28-C$7)/C$8</f>
        <v>-13971.038696437747</v>
      </c>
      <c r="F28">
        <f>ROUND(2*E28,0)/2</f>
        <v>-13971</v>
      </c>
      <c r="G28">
        <f>+C28-(C$7+F28*C$8)</f>
        <v>-6.3093999997363426E-2</v>
      </c>
      <c r="I28">
        <f>+G28</f>
        <v>-6.3093999997363426E-2</v>
      </c>
      <c r="O28">
        <f ca="1">+C$11+C$12*$F28</f>
        <v>-2.693614719241802E-3</v>
      </c>
      <c r="Q28" s="2">
        <f>+C28-15018.5</f>
        <v>18699.766000000003</v>
      </c>
    </row>
    <row r="29" spans="1:18">
      <c r="A29" s="55" t="s">
        <v>82</v>
      </c>
      <c r="B29" s="56" t="s">
        <v>29</v>
      </c>
      <c r="C29" s="55">
        <v>33844.697999999997</v>
      </c>
      <c r="D29" s="55" t="s">
        <v>63</v>
      </c>
      <c r="E29">
        <f>+(C29-C$7)/C$8</f>
        <v>-13893.49617230691</v>
      </c>
      <c r="F29">
        <f>ROUND(2*E29,0)/2</f>
        <v>-13893.5</v>
      </c>
      <c r="G29">
        <f>+C29-(C$7+F29*C$8)</f>
        <v>6.2409999954979867E-3</v>
      </c>
      <c r="I29">
        <f>+G29</f>
        <v>6.2409999954979867E-3</v>
      </c>
      <c r="O29">
        <f ca="1">+C$11+C$12*$F29</f>
        <v>-2.6718279719306565E-3</v>
      </c>
      <c r="Q29" s="2">
        <f>+C29-15018.5</f>
        <v>18826.197999999997</v>
      </c>
    </row>
    <row r="30" spans="1:18">
      <c r="A30" s="55" t="s">
        <v>89</v>
      </c>
      <c r="B30" s="56" t="s">
        <v>41</v>
      </c>
      <c r="C30" s="55">
        <v>33946.529000000002</v>
      </c>
      <c r="D30" s="55" t="s">
        <v>63</v>
      </c>
      <c r="E30">
        <f>+(C30-C$7)/C$8</f>
        <v>-13831.041787540646</v>
      </c>
      <c r="F30">
        <f>ROUND(2*E30,0)/2</f>
        <v>-13831</v>
      </c>
      <c r="G30">
        <f>+C30-(C$7+F30*C$8)</f>
        <v>-6.8133999993733596E-2</v>
      </c>
      <c r="I30">
        <f>+G30</f>
        <v>-6.8133999993733596E-2</v>
      </c>
      <c r="O30">
        <f ca="1">+C$11+C$12*$F30</f>
        <v>-2.6542580144216692E-3</v>
      </c>
      <c r="Q30" s="2">
        <f>+C30-15018.5</f>
        <v>18928.029000000002</v>
      </c>
    </row>
    <row r="31" spans="1:18">
      <c r="A31" s="28" t="s">
        <v>13</v>
      </c>
      <c r="B31" s="28"/>
      <c r="C31" s="29">
        <v>33946.608</v>
      </c>
      <c r="D31" s="29">
        <v>1E-3</v>
      </c>
      <c r="E31">
        <f>+(C31-C$7)/C$8</f>
        <v>-13830.993335729347</v>
      </c>
      <c r="F31">
        <f>ROUND(2*E31,0)/2</f>
        <v>-13831</v>
      </c>
      <c r="G31">
        <f>+C31-(C$7+F31*C$8)</f>
        <v>1.0866000004170928E-2</v>
      </c>
      <c r="J31">
        <f>+G31</f>
        <v>1.0866000004170928E-2</v>
      </c>
      <c r="O31">
        <f ca="1">+C$11+C$12*$F31</f>
        <v>-2.6542580144216692E-3</v>
      </c>
      <c r="Q31" s="2">
        <f>+C31-15018.5</f>
        <v>18928.108</v>
      </c>
    </row>
    <row r="32" spans="1:18">
      <c r="A32" s="55" t="s">
        <v>89</v>
      </c>
      <c r="B32" s="56" t="s">
        <v>41</v>
      </c>
      <c r="C32" s="55">
        <v>33946.629999999997</v>
      </c>
      <c r="D32" s="55" t="s">
        <v>63</v>
      </c>
      <c r="E32">
        <f>+(C32-C$7)/C$8</f>
        <v>-13830.979842819874</v>
      </c>
      <c r="F32">
        <f>ROUND(2*E32,0)/2</f>
        <v>-13831</v>
      </c>
      <c r="G32">
        <f>+C32-(C$7+F32*C$8)</f>
        <v>3.286600000137696E-2</v>
      </c>
      <c r="I32">
        <f>+G32</f>
        <v>3.286600000137696E-2</v>
      </c>
      <c r="O32">
        <f ca="1">+C$11+C$12*$F32</f>
        <v>-2.6542580144216692E-3</v>
      </c>
      <c r="Q32" s="2">
        <f>+C32-15018.5</f>
        <v>18928.129999999997</v>
      </c>
    </row>
    <row r="33" spans="1:17">
      <c r="A33" s="55" t="s">
        <v>89</v>
      </c>
      <c r="B33" s="56" t="s">
        <v>41</v>
      </c>
      <c r="C33" s="55">
        <v>34036.245000000003</v>
      </c>
      <c r="D33" s="55" t="s">
        <v>63</v>
      </c>
      <c r="E33">
        <f>+(C33-C$7)/C$8</f>
        <v>-13776.017702697231</v>
      </c>
      <c r="F33">
        <f>ROUND(2*E33,0)/2</f>
        <v>-13776</v>
      </c>
      <c r="G33">
        <f>+C33-(C$7+F33*C$8)</f>
        <v>-2.8863999999884982E-2</v>
      </c>
      <c r="I33">
        <f>+G33</f>
        <v>-2.8863999999884982E-2</v>
      </c>
      <c r="O33">
        <f ca="1">+C$11+C$12*$F33</f>
        <v>-2.6387964518137597E-3</v>
      </c>
      <c r="Q33" s="2">
        <f>+C33-15018.5</f>
        <v>19017.745000000003</v>
      </c>
    </row>
    <row r="34" spans="1:17">
      <c r="A34" s="55" t="s">
        <v>89</v>
      </c>
      <c r="B34" s="56" t="s">
        <v>41</v>
      </c>
      <c r="C34" s="55">
        <v>34078.616000000002</v>
      </c>
      <c r="D34" s="55" t="s">
        <v>63</v>
      </c>
      <c r="E34">
        <f>+(C34-C$7)/C$8</f>
        <v>-13750.030972360388</v>
      </c>
      <c r="F34">
        <f>ROUND(2*E34,0)/2</f>
        <v>-13750</v>
      </c>
      <c r="G34">
        <f>+C34-(C$7+F34*C$8)</f>
        <v>-5.0499999997555278E-2</v>
      </c>
      <c r="I34">
        <f>+G34</f>
        <v>-5.0499999997555278E-2</v>
      </c>
      <c r="O34">
        <f ca="1">+C$11+C$12*$F34</f>
        <v>-2.6314873494900212E-3</v>
      </c>
      <c r="Q34" s="2">
        <f>+C34-15018.5</f>
        <v>19060.116000000002</v>
      </c>
    </row>
    <row r="35" spans="1:17">
      <c r="A35" s="55" t="s">
        <v>89</v>
      </c>
      <c r="B35" s="56" t="s">
        <v>41</v>
      </c>
      <c r="C35" s="55">
        <v>34096.559999999998</v>
      </c>
      <c r="D35" s="55" t="s">
        <v>63</v>
      </c>
      <c r="E35">
        <f>+(C35-C$7)/C$8</f>
        <v>-13739.025664740453</v>
      </c>
      <c r="F35">
        <f>ROUND(2*E35,0)/2</f>
        <v>-13739</v>
      </c>
      <c r="G35">
        <f>+C35-(C$7+F35*C$8)</f>
        <v>-4.1846000007353723E-2</v>
      </c>
      <c r="I35">
        <f>+G35</f>
        <v>-4.1846000007353723E-2</v>
      </c>
      <c r="O35">
        <f ca="1">+C$11+C$12*$F35</f>
        <v>-2.6283950369684391E-3</v>
      </c>
      <c r="Q35" s="2">
        <f>+C35-15018.5</f>
        <v>19078.059999999998</v>
      </c>
    </row>
    <row r="36" spans="1:17">
      <c r="A36" s="55" t="s">
        <v>89</v>
      </c>
      <c r="B36" s="56" t="s">
        <v>41</v>
      </c>
      <c r="C36" s="55">
        <v>34098.302000000003</v>
      </c>
      <c r="D36" s="55" t="s">
        <v>63</v>
      </c>
      <c r="E36">
        <f>+(C36-C$7)/C$8</f>
        <v>-13737.957271635572</v>
      </c>
      <c r="F36">
        <f>ROUND(2*E36,0)/2</f>
        <v>-13738</v>
      </c>
      <c r="G36">
        <f>+C36-(C$7+F36*C$8)</f>
        <v>6.9668000003730413E-2</v>
      </c>
      <c r="I36">
        <f>+G36</f>
        <v>6.9668000003730413E-2</v>
      </c>
      <c r="O36">
        <f ca="1">+C$11+C$12*$F36</f>
        <v>-2.6281139176482955E-3</v>
      </c>
      <c r="Q36" s="2">
        <f>+C36-15018.5</f>
        <v>19079.802000000003</v>
      </c>
    </row>
    <row r="37" spans="1:17">
      <c r="A37" s="55" t="s">
        <v>89</v>
      </c>
      <c r="B37" s="56" t="s">
        <v>41</v>
      </c>
      <c r="C37" s="55">
        <v>34114.527999999998</v>
      </c>
      <c r="D37" s="55" t="s">
        <v>63</v>
      </c>
      <c r="E37">
        <f>+(C37-C$7)/C$8</f>
        <v>-13728.005637582906</v>
      </c>
      <c r="F37">
        <f>ROUND(2*E37,0)/2</f>
        <v>-13728</v>
      </c>
      <c r="G37">
        <f>+C37-(C$7+F37*C$8)</f>
        <v>-9.1920000049867667E-3</v>
      </c>
      <c r="I37">
        <f>+G37</f>
        <v>-9.1920000049867667E-3</v>
      </c>
      <c r="O37">
        <f ca="1">+C$11+C$12*$F37</f>
        <v>-2.625302724446857E-3</v>
      </c>
      <c r="Q37" s="2">
        <f>+C37-15018.5</f>
        <v>19096.027999999998</v>
      </c>
    </row>
    <row r="38" spans="1:17">
      <c r="A38" s="55" t="s">
        <v>89</v>
      </c>
      <c r="B38" s="56" t="s">
        <v>41</v>
      </c>
      <c r="C38" s="55">
        <v>34119.432999999997</v>
      </c>
      <c r="D38" s="55" t="s">
        <v>63</v>
      </c>
      <c r="E38">
        <f>+(C38-C$7)/C$8</f>
        <v>-13724.997332083811</v>
      </c>
      <c r="F38">
        <f>ROUND(2*E38,0)/2</f>
        <v>-13725</v>
      </c>
      <c r="G38">
        <f>+C38-(C$7+F38*C$8)</f>
        <v>4.3499999956111424E-3</v>
      </c>
      <c r="I38">
        <f>+G38</f>
        <v>4.3499999956111424E-3</v>
      </c>
      <c r="O38">
        <f ca="1">+C$11+C$12*$F38</f>
        <v>-2.6244593664864263E-3</v>
      </c>
      <c r="Q38" s="2">
        <f>+C38-15018.5</f>
        <v>19100.932999999997</v>
      </c>
    </row>
    <row r="39" spans="1:17">
      <c r="A39" s="55" t="s">
        <v>89</v>
      </c>
      <c r="B39" s="56" t="s">
        <v>41</v>
      </c>
      <c r="C39" s="55">
        <v>34119.485000000001</v>
      </c>
      <c r="D39" s="55" t="s">
        <v>63</v>
      </c>
      <c r="E39">
        <f>+(C39-C$7)/C$8</f>
        <v>-13724.965439752319</v>
      </c>
      <c r="F39">
        <f>ROUND(2*E39,0)/2</f>
        <v>-13725</v>
      </c>
      <c r="G39">
        <f>+C39-(C$7+F39*C$8)</f>
        <v>5.6349999998928979E-2</v>
      </c>
      <c r="I39">
        <f>+G39</f>
        <v>5.6349999998928979E-2</v>
      </c>
      <c r="O39">
        <f ca="1">+C$11+C$12*$F39</f>
        <v>-2.6244593664864263E-3</v>
      </c>
      <c r="Q39" s="2">
        <f>+C39-15018.5</f>
        <v>19100.985000000001</v>
      </c>
    </row>
    <row r="40" spans="1:17">
      <c r="A40" s="55" t="s">
        <v>82</v>
      </c>
      <c r="B40" s="56" t="s">
        <v>41</v>
      </c>
      <c r="C40" s="55">
        <v>34419.442000000003</v>
      </c>
      <c r="D40" s="55" t="s">
        <v>63</v>
      </c>
      <c r="E40">
        <f>+(C40-C$7)/C$8</f>
        <v>-13540.997592128972</v>
      </c>
      <c r="F40">
        <f>ROUND(2*E40,0)/2</f>
        <v>-13541</v>
      </c>
      <c r="G40">
        <f>+C40-(C$7+F40*C$8)</f>
        <v>3.9259999975911342E-3</v>
      </c>
      <c r="I40">
        <f>+G40</f>
        <v>3.9259999975911342E-3</v>
      </c>
      <c r="O40">
        <f ca="1">+C$11+C$12*$F40</f>
        <v>-2.5727334115799661E-3</v>
      </c>
      <c r="Q40" s="2">
        <f>+C40-15018.5</f>
        <v>19400.942000000003</v>
      </c>
    </row>
    <row r="41" spans="1:17">
      <c r="A41" s="55" t="s">
        <v>82</v>
      </c>
      <c r="B41" s="56" t="s">
        <v>29</v>
      </c>
      <c r="C41" s="55">
        <v>34485.478999999999</v>
      </c>
      <c r="D41" s="55" t="s">
        <v>63</v>
      </c>
      <c r="E41">
        <f>+(C41-C$7)/C$8</f>
        <v>-13500.49617108028</v>
      </c>
      <c r="F41">
        <f>ROUND(2*E41,0)/2</f>
        <v>-13500.5</v>
      </c>
      <c r="G41">
        <f>+C41-(C$7+F41*C$8)</f>
        <v>6.2430000034510158E-3</v>
      </c>
      <c r="I41">
        <f>+G41</f>
        <v>6.2430000034510158E-3</v>
      </c>
      <c r="O41">
        <f ca="1">+C$11+C$12*$F41</f>
        <v>-2.5613480791141421E-3</v>
      </c>
      <c r="Q41" s="2">
        <f>+C41-15018.5</f>
        <v>19466.978999999999</v>
      </c>
    </row>
    <row r="42" spans="1:17">
      <c r="A42" s="55" t="s">
        <v>82</v>
      </c>
      <c r="B42" s="56" t="s">
        <v>29</v>
      </c>
      <c r="C42" s="55">
        <v>35023.54</v>
      </c>
      <c r="D42" s="55" t="s">
        <v>63</v>
      </c>
      <c r="E42">
        <f>+(C42-C$7)/C$8</f>
        <v>-13170.495790825558</v>
      </c>
      <c r="F42">
        <f>ROUND(2*E42,0)/2</f>
        <v>-13170.5</v>
      </c>
      <c r="G42">
        <f>+C42-(C$7+F42*C$8)</f>
        <v>6.862999995064456E-3</v>
      </c>
      <c r="I42">
        <f>+G42</f>
        <v>6.862999995064456E-3</v>
      </c>
      <c r="O42">
        <f ca="1">+C$11+C$12*$F42</f>
        <v>-2.4685787034666867E-3</v>
      </c>
      <c r="Q42" s="2">
        <f>+C42-15018.5</f>
        <v>20005.04</v>
      </c>
    </row>
    <row r="43" spans="1:17">
      <c r="A43" s="55" t="s">
        <v>82</v>
      </c>
      <c r="B43" s="56" t="s">
        <v>41</v>
      </c>
      <c r="C43" s="55">
        <v>35145.016000000003</v>
      </c>
      <c r="D43" s="55" t="s">
        <v>63</v>
      </c>
      <c r="E43">
        <f>+(C43-C$7)/C$8</f>
        <v>-13095.992851211233</v>
      </c>
      <c r="F43">
        <f>ROUND(2*E43,0)/2</f>
        <v>-13096</v>
      </c>
      <c r="G43">
        <f>+C43-(C$7+F43*C$8)</f>
        <v>1.1656000002403744E-2</v>
      </c>
      <c r="I43">
        <f>+G43</f>
        <v>1.1656000002403744E-2</v>
      </c>
      <c r="O43">
        <f ca="1">+C$11+C$12*$F43</f>
        <v>-2.4476353141159738E-3</v>
      </c>
      <c r="Q43" s="2">
        <f>+C43-15018.5</f>
        <v>20126.516000000003</v>
      </c>
    </row>
    <row r="44" spans="1:17">
      <c r="A44" s="55" t="s">
        <v>140</v>
      </c>
      <c r="B44" s="56" t="s">
        <v>41</v>
      </c>
      <c r="C44" s="55">
        <v>36780.417999999998</v>
      </c>
      <c r="D44" s="55" t="s">
        <v>63</v>
      </c>
      <c r="E44">
        <f>+(C44-C$7)/C$8</f>
        <v>-12092.977799257402</v>
      </c>
      <c r="F44">
        <f>ROUND(2*E44,0)/2</f>
        <v>-12093</v>
      </c>
      <c r="G44">
        <f>+C44-(C$7+F44*C$8)</f>
        <v>3.6197999994328711E-2</v>
      </c>
      <c r="I44">
        <f>+G44</f>
        <v>3.6197999994328711E-2</v>
      </c>
      <c r="O44">
        <f ca="1">+C$11+C$12*$F44</f>
        <v>-2.1656726360117385E-3</v>
      </c>
      <c r="Q44" s="2">
        <f>+C44-15018.5</f>
        <v>21761.917999999998</v>
      </c>
    </row>
    <row r="45" spans="1:17">
      <c r="A45" s="55" t="s">
        <v>140</v>
      </c>
      <c r="B45" s="56" t="s">
        <v>41</v>
      </c>
      <c r="C45" s="55">
        <v>36806.39</v>
      </c>
      <c r="D45" s="55" t="s">
        <v>63</v>
      </c>
      <c r="E45">
        <f>+(C45-C$7)/C$8</f>
        <v>-12077.048806306831</v>
      </c>
      <c r="F45">
        <f>ROUND(2*E45,0)/2</f>
        <v>-12077</v>
      </c>
      <c r="G45">
        <f>+C45-(C$7+F45*C$8)</f>
        <v>-7.9578000004403293E-2</v>
      </c>
      <c r="I45">
        <f>+G45</f>
        <v>-7.9578000004403293E-2</v>
      </c>
      <c r="O45">
        <f ca="1">+C$11+C$12*$F45</f>
        <v>-2.1611747268894376E-3</v>
      </c>
      <c r="Q45" s="2">
        <f>+C45-15018.5</f>
        <v>21787.89</v>
      </c>
    </row>
    <row r="46" spans="1:17">
      <c r="A46" s="55" t="s">
        <v>140</v>
      </c>
      <c r="B46" s="56" t="s">
        <v>41</v>
      </c>
      <c r="C46" s="55">
        <v>36842.341</v>
      </c>
      <c r="D46" s="55" t="s">
        <v>63</v>
      </c>
      <c r="E46">
        <f>+(C46-C$7)/C$8</f>
        <v>-12054.999552280731</v>
      </c>
      <c r="F46">
        <f>ROUND(2*E46,0)/2</f>
        <v>-12055</v>
      </c>
      <c r="G46">
        <f>+C46-(C$7+F46*C$8)</f>
        <v>7.299999997485429E-4</v>
      </c>
      <c r="I46">
        <f>+G46</f>
        <v>7.299999997485429E-4</v>
      </c>
      <c r="O46">
        <f ca="1">+C$11+C$12*$F46</f>
        <v>-2.1549901018462735E-3</v>
      </c>
      <c r="Q46" s="2">
        <f>+C46-15018.5</f>
        <v>21823.841</v>
      </c>
    </row>
    <row r="47" spans="1:17">
      <c r="A47" s="55" t="s">
        <v>140</v>
      </c>
      <c r="B47" s="56" t="s">
        <v>41</v>
      </c>
      <c r="C47" s="55">
        <v>36896.216999999997</v>
      </c>
      <c r="D47" s="55" t="s">
        <v>63</v>
      </c>
      <c r="E47">
        <f>+(C47-C$7)/C$8</f>
        <v>-12021.956643601972</v>
      </c>
      <c r="F47">
        <f>ROUND(2*E47,0)/2</f>
        <v>-12022</v>
      </c>
      <c r="G47">
        <f>+C47-(C$7+F47*C$8)</f>
        <v>7.0692000001145061E-2</v>
      </c>
      <c r="I47">
        <f>+G47</f>
        <v>7.0692000001145061E-2</v>
      </c>
      <c r="O47">
        <f ca="1">+C$11+C$12*$F47</f>
        <v>-2.1457131642815281E-3</v>
      </c>
      <c r="Q47" s="2">
        <f>+C47-15018.5</f>
        <v>21877.716999999997</v>
      </c>
    </row>
    <row r="48" spans="1:17">
      <c r="A48" s="55" t="s">
        <v>140</v>
      </c>
      <c r="B48" s="56" t="s">
        <v>41</v>
      </c>
      <c r="C48" s="55">
        <v>36922.232000000004</v>
      </c>
      <c r="D48" s="55" t="s">
        <v>63</v>
      </c>
      <c r="E48">
        <f>+(C48-C$7)/C$8</f>
        <v>-12006.001278146514</v>
      </c>
      <c r="F48">
        <f>ROUND(2*E48,0)/2</f>
        <v>-12006</v>
      </c>
      <c r="G48">
        <f>+C48-(C$7+F48*C$8)</f>
        <v>-2.083999992464669E-3</v>
      </c>
      <c r="I48">
        <f>+G48</f>
        <v>-2.083999992464669E-3</v>
      </c>
      <c r="O48">
        <f ca="1">+C$11+C$12*$F48</f>
        <v>-2.1412152551592272E-3</v>
      </c>
      <c r="Q48" s="2">
        <f>+C48-15018.5</f>
        <v>21903.732000000004</v>
      </c>
    </row>
    <row r="49" spans="1:17">
      <c r="A49" s="55" t="s">
        <v>140</v>
      </c>
      <c r="B49" s="56" t="s">
        <v>41</v>
      </c>
      <c r="C49" s="55">
        <v>37116.394999999997</v>
      </c>
      <c r="D49" s="55" t="s">
        <v>63</v>
      </c>
      <c r="E49">
        <f>+(C49-C$7)/C$8</f>
        <v>-11886.918378937326</v>
      </c>
      <c r="F49">
        <f>ROUND(2*E49,0)/2</f>
        <v>-11887</v>
      </c>
      <c r="G49">
        <f>+C49-(C$7+F49*C$8)</f>
        <v>0.13308199999300996</v>
      </c>
      <c r="I49">
        <f>+G49</f>
        <v>0.13308199999300996</v>
      </c>
      <c r="O49">
        <f ca="1">+C$11+C$12*$F49</f>
        <v>-2.107762056062115E-3</v>
      </c>
      <c r="Q49" s="2">
        <f>+C49-15018.5</f>
        <v>22097.894999999997</v>
      </c>
    </row>
    <row r="50" spans="1:17">
      <c r="A50" s="55" t="s">
        <v>140</v>
      </c>
      <c r="B50" s="56" t="s">
        <v>41</v>
      </c>
      <c r="C50" s="55">
        <v>37168.434000000001</v>
      </c>
      <c r="D50" s="55" t="s">
        <v>63</v>
      </c>
      <c r="E50">
        <f>+(C50-C$7)/C$8</f>
        <v>-11855.002128199812</v>
      </c>
      <c r="F50">
        <f>ROUND(2*E50,0)/2</f>
        <v>-11855</v>
      </c>
      <c r="G50">
        <f>+C50-(C$7+F50*C$8)</f>
        <v>-3.470000003289897E-3</v>
      </c>
      <c r="I50">
        <f>+G50</f>
        <v>-3.470000003289897E-3</v>
      </c>
      <c r="O50">
        <f ca="1">+C$11+C$12*$F50</f>
        <v>-2.0987662378175133E-3</v>
      </c>
      <c r="Q50" s="2">
        <f>+C50-15018.5</f>
        <v>22149.934000000001</v>
      </c>
    </row>
    <row r="51" spans="1:17">
      <c r="A51" s="55" t="s">
        <v>140</v>
      </c>
      <c r="B51" s="56" t="s">
        <v>41</v>
      </c>
      <c r="C51" s="55">
        <v>37173.356</v>
      </c>
      <c r="D51" s="55" t="s">
        <v>63</v>
      </c>
      <c r="E51">
        <f>+(C51-C$7)/C$8</f>
        <v>-11851.983396361577</v>
      </c>
      <c r="F51">
        <f>ROUND(2*E51,0)/2</f>
        <v>-11852</v>
      </c>
      <c r="G51">
        <f>+C51-(C$7+F51*C$8)</f>
        <v>2.7071999997133389E-2</v>
      </c>
      <c r="I51">
        <f>+G51</f>
        <v>2.7071999997133389E-2</v>
      </c>
      <c r="O51">
        <f ca="1">+C$11+C$12*$F51</f>
        <v>-2.0979228798570816E-3</v>
      </c>
      <c r="Q51" s="2">
        <f>+C51-15018.5</f>
        <v>22154.856</v>
      </c>
    </row>
    <row r="52" spans="1:17">
      <c r="A52" s="55" t="s">
        <v>140</v>
      </c>
      <c r="B52" s="56" t="s">
        <v>41</v>
      </c>
      <c r="C52" s="55">
        <v>37253.224000000002</v>
      </c>
      <c r="D52" s="55" t="s">
        <v>63</v>
      </c>
      <c r="E52">
        <f>+(C52-C$7)/C$8</f>
        <v>-11802.999228450903</v>
      </c>
      <c r="F52">
        <f>ROUND(2*E52,0)/2</f>
        <v>-11803</v>
      </c>
      <c r="G52">
        <f>+C52-(C$7+F52*C$8)</f>
        <v>1.2580000038724393E-3</v>
      </c>
      <c r="I52">
        <f>+G52</f>
        <v>1.2580000038724393E-3</v>
      </c>
      <c r="O52">
        <f ca="1">+C$11+C$12*$F52</f>
        <v>-2.0841480331700354E-3</v>
      </c>
      <c r="Q52" s="2">
        <f>+C52-15018.5</f>
        <v>22234.724000000002</v>
      </c>
    </row>
    <row r="53" spans="1:17">
      <c r="A53" s="55" t="s">
        <v>140</v>
      </c>
      <c r="B53" s="56" t="s">
        <v>41</v>
      </c>
      <c r="C53" s="55">
        <v>37468.421999999999</v>
      </c>
      <c r="D53" s="55" t="s">
        <v>63</v>
      </c>
      <c r="E53">
        <f>+(C53-C$7)/C$8</f>
        <v>-11671.015267840388</v>
      </c>
      <c r="F53">
        <f>ROUND(2*E53,0)/2</f>
        <v>-11671</v>
      </c>
      <c r="G53">
        <f>+C53-(C$7+F53*C$8)</f>
        <v>-2.4894000001950189E-2</v>
      </c>
      <c r="I53">
        <f>+G53</f>
        <v>-2.4894000001950189E-2</v>
      </c>
      <c r="O53">
        <f ca="1">+C$11+C$12*$F53</f>
        <v>-2.0470402829110531E-3</v>
      </c>
      <c r="Q53" s="2">
        <f>+C53-15018.5</f>
        <v>22449.921999999999</v>
      </c>
    </row>
    <row r="54" spans="1:17">
      <c r="A54" s="55" t="s">
        <v>140</v>
      </c>
      <c r="B54" s="56" t="s">
        <v>41</v>
      </c>
      <c r="C54" s="55">
        <v>37499.461000000003</v>
      </c>
      <c r="D54" s="55" t="s">
        <v>63</v>
      </c>
      <c r="E54">
        <f>+(C54-C$7)/C$8</f>
        <v>-11651.978612511852</v>
      </c>
      <c r="F54">
        <f>ROUND(2*E54,0)/2</f>
        <v>-11652</v>
      </c>
      <c r="G54">
        <f>+C54-(C$7+F54*C$8)</f>
        <v>3.4872000003815629E-2</v>
      </c>
      <c r="I54">
        <f>+G54</f>
        <v>3.4872000003815629E-2</v>
      </c>
      <c r="O54">
        <f ca="1">+C$11+C$12*$F54</f>
        <v>-2.0416990158283214E-3</v>
      </c>
      <c r="Q54" s="2">
        <f>+C54-15018.5</f>
        <v>22480.961000000003</v>
      </c>
    </row>
    <row r="55" spans="1:17">
      <c r="A55" s="55" t="s">
        <v>140</v>
      </c>
      <c r="B55" s="56" t="s">
        <v>41</v>
      </c>
      <c r="C55" s="55">
        <v>37517.375</v>
      </c>
      <c r="D55" s="55" t="s">
        <v>63</v>
      </c>
      <c r="E55">
        <f>+(C55-C$7)/C$8</f>
        <v>-11640.991704313928</v>
      </c>
      <c r="F55">
        <f>ROUND(2*E55,0)/2</f>
        <v>-11641</v>
      </c>
      <c r="G55">
        <f>+C55-(C$7+F55*C$8)</f>
        <v>1.3525999995181337E-2</v>
      </c>
      <c r="I55">
        <f>+G55</f>
        <v>1.3525999995181337E-2</v>
      </c>
      <c r="O55">
        <f ca="1">+C$11+C$12*$F55</f>
        <v>-2.0386067033067393E-3</v>
      </c>
      <c r="Q55" s="2">
        <f>+C55-15018.5</f>
        <v>22498.875</v>
      </c>
    </row>
    <row r="56" spans="1:17">
      <c r="A56" s="55" t="s">
        <v>140</v>
      </c>
      <c r="B56" s="56" t="s">
        <v>41</v>
      </c>
      <c r="C56" s="55">
        <v>37548.406000000003</v>
      </c>
      <c r="D56" s="55" t="s">
        <v>63</v>
      </c>
      <c r="E56">
        <f>+(C56-C$7)/C$8</f>
        <v>-11621.95995549793</v>
      </c>
      <c r="F56">
        <f>ROUND(2*E56,0)/2</f>
        <v>-11622</v>
      </c>
      <c r="G56">
        <f>+C56-(C$7+F56*C$8)</f>
        <v>6.5291999999317341E-2</v>
      </c>
      <c r="I56">
        <f>+G56</f>
        <v>6.5291999999317341E-2</v>
      </c>
      <c r="O56">
        <f ca="1">+C$11+C$12*$F56</f>
        <v>-2.0332654362240068E-3</v>
      </c>
      <c r="Q56" s="2">
        <f>+C56-15018.5</f>
        <v>22529.906000000003</v>
      </c>
    </row>
    <row r="57" spans="1:17">
      <c r="A57" s="55" t="s">
        <v>140</v>
      </c>
      <c r="B57" s="56" t="s">
        <v>41</v>
      </c>
      <c r="C57" s="55">
        <v>37584.252</v>
      </c>
      <c r="D57" s="55" t="s">
        <v>63</v>
      </c>
      <c r="E57">
        <f>+(C57-C$7)/C$8</f>
        <v>-11599.975099448877</v>
      </c>
      <c r="F57">
        <f>ROUND(2*E57,0)/2</f>
        <v>-11600</v>
      </c>
      <c r="G57">
        <f>+C57-(C$7+F57*C$8)</f>
        <v>4.0600000000267755E-2</v>
      </c>
      <c r="I57">
        <f>+G57</f>
        <v>4.0600000000267755E-2</v>
      </c>
      <c r="O57">
        <f ca="1">+C$11+C$12*$F57</f>
        <v>-2.0270808111808435E-3</v>
      </c>
      <c r="Q57" s="2">
        <f>+C57-15018.5</f>
        <v>22565.752</v>
      </c>
    </row>
    <row r="58" spans="1:17">
      <c r="A58" s="55" t="s">
        <v>140</v>
      </c>
      <c r="B58" s="56" t="s">
        <v>41</v>
      </c>
      <c r="C58" s="55">
        <v>37615.222999999998</v>
      </c>
      <c r="D58" s="55" t="s">
        <v>63</v>
      </c>
      <c r="E58">
        <f>+(C58-C$7)/C$8</f>
        <v>-11580.980149476905</v>
      </c>
      <c r="F58">
        <f>ROUND(2*E58,0)/2</f>
        <v>-11581</v>
      </c>
      <c r="G58">
        <f>+C58-(C$7+F58*C$8)</f>
        <v>3.2365999999456108E-2</v>
      </c>
      <c r="I58">
        <f>+G58</f>
        <v>3.2365999999456108E-2</v>
      </c>
      <c r="O58">
        <f ca="1">+C$11+C$12*$F58</f>
        <v>-2.021739544098111E-3</v>
      </c>
      <c r="Q58" s="2">
        <f>+C58-15018.5</f>
        <v>22596.722999999998</v>
      </c>
    </row>
    <row r="59" spans="1:17">
      <c r="A59" s="55" t="s">
        <v>140</v>
      </c>
      <c r="B59" s="56" t="s">
        <v>41</v>
      </c>
      <c r="C59" s="55">
        <v>37641.207999999999</v>
      </c>
      <c r="D59" s="55" t="s">
        <v>63</v>
      </c>
      <c r="E59">
        <f>+(C59-C$7)/C$8</f>
        <v>-11565.043183443466</v>
      </c>
      <c r="F59">
        <f>ROUND(2*E59,0)/2</f>
        <v>-11565</v>
      </c>
      <c r="G59">
        <f>+C59-(C$7+F59*C$8)</f>
        <v>-7.0410000000265427E-2</v>
      </c>
      <c r="I59">
        <f>+G59</f>
        <v>-7.0410000000265427E-2</v>
      </c>
      <c r="O59">
        <f ca="1">+C$11+C$12*$F59</f>
        <v>-2.0172416349758101E-3</v>
      </c>
      <c r="Q59" s="2">
        <f>+C59-15018.5</f>
        <v>22622.707999999999</v>
      </c>
    </row>
    <row r="60" spans="1:17">
      <c r="A60" s="55" t="s">
        <v>140</v>
      </c>
      <c r="B60" s="56" t="s">
        <v>41</v>
      </c>
      <c r="C60" s="55">
        <v>37659.22</v>
      </c>
      <c r="D60" s="55" t="s">
        <v>63</v>
      </c>
      <c r="E60">
        <f>+(C60-C$7)/C$8</f>
        <v>-11553.996170466964</v>
      </c>
      <c r="F60">
        <f>ROUND(2*E60,0)/2</f>
        <v>-11554</v>
      </c>
      <c r="G60">
        <f>+C60-(C$7+F60*C$8)</f>
        <v>6.2440000037895516E-3</v>
      </c>
      <c r="I60">
        <f>+G60</f>
        <v>6.2440000037895516E-3</v>
      </c>
      <c r="O60">
        <f ca="1">+C$11+C$12*$F60</f>
        <v>-2.014149322454228E-3</v>
      </c>
      <c r="Q60" s="2">
        <f>+C60-15018.5</f>
        <v>22640.720000000001</v>
      </c>
    </row>
    <row r="61" spans="1:17">
      <c r="A61" s="55" t="s">
        <v>140</v>
      </c>
      <c r="B61" s="56" t="s">
        <v>41</v>
      </c>
      <c r="C61" s="55">
        <v>37928.31</v>
      </c>
      <c r="D61" s="55" t="s">
        <v>63</v>
      </c>
      <c r="E61">
        <f>+(C61-C$7)/C$8</f>
        <v>-11388.959488152614</v>
      </c>
      <c r="F61">
        <f>ROUND(2*E61,0)/2</f>
        <v>-11389</v>
      </c>
      <c r="G61">
        <f>+C61-(C$7+F61*C$8)</f>
        <v>6.6053999995347112E-2</v>
      </c>
      <c r="I61">
        <f>+G61</f>
        <v>6.6053999995347112E-2</v>
      </c>
      <c r="O61">
        <f ca="1">+C$11+C$12*$F61</f>
        <v>-1.9677646346305004E-3</v>
      </c>
      <c r="Q61" s="2">
        <f>+C61-15018.5</f>
        <v>22909.809999999998</v>
      </c>
    </row>
    <row r="62" spans="1:17">
      <c r="A62" s="55" t="s">
        <v>140</v>
      </c>
      <c r="B62" s="56" t="s">
        <v>41</v>
      </c>
      <c r="C62" s="55">
        <v>38316.32</v>
      </c>
      <c r="D62" s="55" t="s">
        <v>63</v>
      </c>
      <c r="E62">
        <f>+(C62-C$7)/C$8</f>
        <v>-11150.987496979429</v>
      </c>
      <c r="F62">
        <f>ROUND(2*E62,0)/2</f>
        <v>-11151</v>
      </c>
      <c r="G62">
        <f>+C62-(C$7+F62*C$8)</f>
        <v>2.0385999996506143E-2</v>
      </c>
      <c r="I62">
        <f>+G62</f>
        <v>2.0385999996506143E-2</v>
      </c>
      <c r="O62">
        <f ca="1">+C$11+C$12*$F62</f>
        <v>-1.9008582364362754E-3</v>
      </c>
      <c r="Q62" s="2">
        <f>+C62-15018.5</f>
        <v>23297.82</v>
      </c>
    </row>
    <row r="63" spans="1:17">
      <c r="A63" s="55" t="s">
        <v>197</v>
      </c>
      <c r="B63" s="56" t="s">
        <v>41</v>
      </c>
      <c r="C63" s="55">
        <v>43096.864000000001</v>
      </c>
      <c r="D63" s="55" t="s">
        <v>63</v>
      </c>
      <c r="E63">
        <f>+(C63-C$7)/C$8</f>
        <v>-8219.0126134171041</v>
      </c>
      <c r="F63">
        <f>ROUND(2*E63,0)/2</f>
        <v>-8219</v>
      </c>
      <c r="G63">
        <f>+C63-(C$7+F63*C$8)</f>
        <v>-2.0565999999234919E-2</v>
      </c>
      <c r="I63">
        <f>+G63</f>
        <v>-2.0565999999234919E-2</v>
      </c>
      <c r="O63">
        <f ca="1">+C$11+C$12*$F63</f>
        <v>-1.0766163897746432E-3</v>
      </c>
      <c r="Q63" s="2">
        <f>+C63-15018.5</f>
        <v>28078.364000000001</v>
      </c>
    </row>
    <row r="64" spans="1:17">
      <c r="A64" s="55" t="s">
        <v>197</v>
      </c>
      <c r="B64" s="56" t="s">
        <v>41</v>
      </c>
      <c r="C64" s="55">
        <v>43096.868000000002</v>
      </c>
      <c r="D64" s="55" t="s">
        <v>63</v>
      </c>
      <c r="E64">
        <f>+(C64-C$7)/C$8</f>
        <v>-8219.0101601608349</v>
      </c>
      <c r="F64">
        <f>ROUND(2*E64,0)/2</f>
        <v>-8219</v>
      </c>
      <c r="G64">
        <f>+C64-(C$7+F64*C$8)</f>
        <v>-1.6565999998420011E-2</v>
      </c>
      <c r="I64">
        <f>+G64</f>
        <v>-1.6565999998420011E-2</v>
      </c>
      <c r="O64">
        <f ca="1">+C$11+C$12*$F64</f>
        <v>-1.0766163897746432E-3</v>
      </c>
      <c r="Q64" s="2">
        <f>+C64-15018.5</f>
        <v>28078.368000000002</v>
      </c>
    </row>
    <row r="65" spans="1:17">
      <c r="A65" s="55" t="s">
        <v>197</v>
      </c>
      <c r="B65" s="56" t="s">
        <v>41</v>
      </c>
      <c r="C65" s="55">
        <v>43326.771999999997</v>
      </c>
      <c r="D65" s="55" t="s">
        <v>63</v>
      </c>
      <c r="E65">
        <f>+(C65-C$7)/C$8</f>
        <v>-8078.006802879635</v>
      </c>
      <c r="F65">
        <f>ROUND(2*E65,0)/2</f>
        <v>-8078</v>
      </c>
      <c r="G65">
        <f>+C65-(C$7+F65*C$8)</f>
        <v>-1.1092000000644475E-2</v>
      </c>
      <c r="I65">
        <f>+G65</f>
        <v>-1.1092000000644475E-2</v>
      </c>
      <c r="O65">
        <f ca="1">+C$11+C$12*$F65</f>
        <v>-1.0369785656343669E-3</v>
      </c>
      <c r="Q65" s="2">
        <f>+C65-15018.5</f>
        <v>28308.271999999997</v>
      </c>
    </row>
    <row r="66" spans="1:17">
      <c r="A66" s="55" t="s">
        <v>197</v>
      </c>
      <c r="B66" s="56" t="s">
        <v>41</v>
      </c>
      <c r="C66" s="55">
        <v>43701.771000000001</v>
      </c>
      <c r="D66" s="55" t="s">
        <v>63</v>
      </c>
      <c r="E66">
        <f>+(C66-C$7)/C$8</f>
        <v>-7848.01464103341</v>
      </c>
      <c r="F66">
        <f>ROUND(2*E66,0)/2</f>
        <v>-7848</v>
      </c>
      <c r="G66">
        <f>+C66-(C$7+F66*C$8)</f>
        <v>-2.3871999997936655E-2</v>
      </c>
      <c r="I66">
        <f>+G66</f>
        <v>-2.3871999997936655E-2</v>
      </c>
      <c r="O66">
        <f ca="1">+C$11+C$12*$F66</f>
        <v>-9.7232112200129205E-4</v>
      </c>
      <c r="Q66" s="2">
        <f>+C66-15018.5</f>
        <v>28683.271000000001</v>
      </c>
    </row>
    <row r="67" spans="1:17">
      <c r="A67" s="55" t="s">
        <v>197</v>
      </c>
      <c r="B67" s="56" t="s">
        <v>41</v>
      </c>
      <c r="C67" s="55">
        <v>44081.694000000003</v>
      </c>
      <c r="D67" s="55" t="s">
        <v>63</v>
      </c>
      <c r="E67">
        <f>+(C67-C$7)/C$8</f>
        <v>-7615.0025207208146</v>
      </c>
      <c r="F67">
        <f>ROUND(2*E67,0)/2</f>
        <v>-7615</v>
      </c>
      <c r="G67">
        <f>+C67-(C$7+F67*C$8)</f>
        <v>-4.1099999943980947E-3</v>
      </c>
      <c r="I67">
        <f>+G67</f>
        <v>-4.1099999943980947E-3</v>
      </c>
      <c r="O67">
        <f ca="1">+C$11+C$12*$F67</f>
        <v>-9.0682032040778605E-4</v>
      </c>
      <c r="Q67" s="2">
        <f>+C67-15018.5</f>
        <v>29063.194000000003</v>
      </c>
    </row>
    <row r="68" spans="1:17">
      <c r="A68" s="55" t="s">
        <v>197</v>
      </c>
      <c r="B68" s="56" t="s">
        <v>41</v>
      </c>
      <c r="C68" s="55">
        <v>44593.656999999999</v>
      </c>
      <c r="D68" s="55" t="s">
        <v>63</v>
      </c>
      <c r="E68">
        <f>+(C68-C$7)/C$8</f>
        <v>-7301.0084109891177</v>
      </c>
      <c r="F68">
        <f>ROUND(2*E68,0)/2</f>
        <v>-7301</v>
      </c>
      <c r="G68">
        <f>+C68-(C$7+F68*C$8)</f>
        <v>-1.3714000000618398E-2</v>
      </c>
      <c r="I68">
        <f>+G68</f>
        <v>-1.3714000000618398E-2</v>
      </c>
      <c r="O68">
        <f ca="1">+C$11+C$12*$F68</f>
        <v>-8.1854885388263159E-4</v>
      </c>
      <c r="Q68" s="2">
        <f>+C68-15018.5</f>
        <v>29575.156999999999</v>
      </c>
    </row>
    <row r="69" spans="1:17">
      <c r="A69" s="55" t="s">
        <v>197</v>
      </c>
      <c r="B69" s="56" t="s">
        <v>41</v>
      </c>
      <c r="C69" s="55">
        <v>45193.678</v>
      </c>
      <c r="D69" s="55" t="s">
        <v>63</v>
      </c>
      <c r="E69">
        <f>+(C69-C$7)/C$8</f>
        <v>-6933.007091137245</v>
      </c>
      <c r="F69">
        <f>ROUND(2*E69,0)/2</f>
        <v>-6933</v>
      </c>
      <c r="G69">
        <f>+C69-(C$7+F69*C$8)</f>
        <v>-1.1561999999685213E-2</v>
      </c>
      <c r="I69">
        <f>+G69</f>
        <v>-1.1561999999685213E-2</v>
      </c>
      <c r="O69">
        <f ca="1">+C$11+C$12*$F69</f>
        <v>-7.1509694406971186E-4</v>
      </c>
      <c r="Q69" s="2">
        <f>+C69-15018.5</f>
        <v>30175.178</v>
      </c>
    </row>
    <row r="70" spans="1:17">
      <c r="A70" s="55" t="s">
        <v>197</v>
      </c>
      <c r="B70" s="56" t="s">
        <v>41</v>
      </c>
      <c r="C70" s="55">
        <v>45643.686999999998</v>
      </c>
      <c r="D70" s="55" t="s">
        <v>63</v>
      </c>
      <c r="E70">
        <f>+(C70-C$7)/C$8</f>
        <v>-6657.0102411182943</v>
      </c>
      <c r="F70">
        <f>ROUND(2*E70,0)/2</f>
        <v>-6657</v>
      </c>
      <c r="G70">
        <f>+C70-(C$7+F70*C$8)</f>
        <v>-1.6697999999450985E-2</v>
      </c>
      <c r="I70">
        <f>+G70</f>
        <v>-1.6697999999450985E-2</v>
      </c>
      <c r="O70">
        <f ca="1">+C$11+C$12*$F70</f>
        <v>-6.3750801171002223E-4</v>
      </c>
      <c r="Q70" s="2">
        <f>+C70-15018.5</f>
        <v>30625.186999999998</v>
      </c>
    </row>
    <row r="71" spans="1:17">
      <c r="A71" s="55" t="s">
        <v>197</v>
      </c>
      <c r="B71" s="56" t="s">
        <v>41</v>
      </c>
      <c r="C71" s="55">
        <v>46804.607000000004</v>
      </c>
      <c r="D71" s="55" t="s">
        <v>63</v>
      </c>
      <c r="E71">
        <f>+(C71-C$7)/C$8</f>
        <v>-5945.0016743474016</v>
      </c>
      <c r="F71">
        <f>ROUND(2*E71,0)/2</f>
        <v>-5945</v>
      </c>
      <c r="G71">
        <f>+C71-(C$7+F71*C$8)</f>
        <v>-2.7300000001559965E-3</v>
      </c>
      <c r="I71">
        <f>+G71</f>
        <v>-2.7300000001559965E-3</v>
      </c>
      <c r="O71">
        <f ca="1">+C$11+C$12*$F71</f>
        <v>-4.373510557676341E-4</v>
      </c>
      <c r="Q71" s="2">
        <f>+C71-15018.5</f>
        <v>31786.107000000004</v>
      </c>
    </row>
    <row r="72" spans="1:17">
      <c r="A72" s="55" t="s">
        <v>197</v>
      </c>
      <c r="B72" s="56" t="s">
        <v>41</v>
      </c>
      <c r="C72" s="55">
        <v>47681.792000000001</v>
      </c>
      <c r="D72" s="55" t="s">
        <v>63</v>
      </c>
      <c r="E72">
        <f>+(C72-C$7)/C$8</f>
        <v>-5407.0117744034605</v>
      </c>
      <c r="F72">
        <f>ROUND(2*E72,0)/2</f>
        <v>-5407</v>
      </c>
      <c r="G72">
        <f>+C72-(C$7+F72*C$8)</f>
        <v>-1.9198000001779292E-2</v>
      </c>
      <c r="I72">
        <f>+G72</f>
        <v>-1.9198000001779292E-2</v>
      </c>
      <c r="O72">
        <f ca="1">+C$11+C$12*$F72</f>
        <v>-2.8610886153026768E-4</v>
      </c>
      <c r="Q72" s="2">
        <f>+C72-15018.5</f>
        <v>32663.292000000001</v>
      </c>
    </row>
    <row r="73" spans="1:17">
      <c r="A73" s="30" t="s">
        <v>28</v>
      </c>
      <c r="B73" s="31"/>
      <c r="C73" s="30">
        <v>49933.5164</v>
      </c>
      <c r="D73" s="30">
        <v>3.3E-3</v>
      </c>
      <c r="E73">
        <f>+(C73-C$7)/C$8</f>
        <v>-4025.9975246644258</v>
      </c>
      <c r="F73">
        <f>ROUND(2*E73,0)/2</f>
        <v>-4026</v>
      </c>
      <c r="G73">
        <f>+C73-(C$7+F73*C$8)</f>
        <v>4.0359999984502792E-3</v>
      </c>
      <c r="J73">
        <f>+G73</f>
        <v>4.0359999984502792E-3</v>
      </c>
      <c r="O73">
        <f ca="1">+C$11+C$12*$F73</f>
        <v>1.0211691958832494E-4</v>
      </c>
      <c r="Q73" s="2">
        <f>+C73-15018.5</f>
        <v>34915.0164</v>
      </c>
    </row>
    <row r="74" spans="1:17">
      <c r="A74" s="30" t="s">
        <v>28</v>
      </c>
      <c r="B74" s="31"/>
      <c r="C74" s="30">
        <v>49951.4493</v>
      </c>
      <c r="D74" s="30">
        <v>1.6999999999999999E-3</v>
      </c>
      <c r="E74">
        <f>+(C74-C$7)/C$8</f>
        <v>-4014.999024830634</v>
      </c>
      <c r="F74">
        <f>ROUND(2*E74,0)/2</f>
        <v>-4015</v>
      </c>
      <c r="G74">
        <f>+C74-(C$7+F74*C$8)</f>
        <v>1.5899999998509884E-3</v>
      </c>
      <c r="J74">
        <f>+G74</f>
        <v>1.5899999998509884E-3</v>
      </c>
      <c r="O74">
        <f ca="1">+C$11+C$12*$F74</f>
        <v>1.052092321099068E-4</v>
      </c>
      <c r="Q74" s="2">
        <f>+C74-15018.5</f>
        <v>34932.9493</v>
      </c>
    </row>
    <row r="75" spans="1:17">
      <c r="A75" s="30" t="s">
        <v>28</v>
      </c>
      <c r="B75" s="31"/>
      <c r="C75" s="30">
        <v>50000.361599999997</v>
      </c>
      <c r="D75" s="30">
        <v>1.1000000000000001E-3</v>
      </c>
      <c r="E75">
        <f>+(C75-C$7)/C$8</f>
        <v>-3985.0004231867092</v>
      </c>
      <c r="F75">
        <f>ROUND(2*E75,0)/2</f>
        <v>-3985</v>
      </c>
      <c r="G75">
        <f>+C75-(C$7+F75*C$8)</f>
        <v>-6.9000000803498551E-4</v>
      </c>
      <c r="J75">
        <f>+G75</f>
        <v>-6.9000000803498551E-4</v>
      </c>
      <c r="O75">
        <f ca="1">+C$11+C$12*$F75</f>
        <v>1.1364281171422097E-4</v>
      </c>
      <c r="Q75" s="2">
        <f>+C75-15018.5</f>
        <v>34981.861599999997</v>
      </c>
    </row>
    <row r="76" spans="1:17">
      <c r="A76" s="30" t="s">
        <v>28</v>
      </c>
      <c r="B76" s="31"/>
      <c r="C76" s="30">
        <v>50005.253900000003</v>
      </c>
      <c r="D76" s="30">
        <v>1.6000000000000001E-3</v>
      </c>
      <c r="E76">
        <f>+(C76-C$7)/C$8</f>
        <v>-3981.9999067762606</v>
      </c>
      <c r="F76">
        <f>ROUND(2*E76,0)/2</f>
        <v>-3982</v>
      </c>
      <c r="G76">
        <f>+C76-(C$7+F76*C$8)</f>
        <v>1.5200000052573159E-4</v>
      </c>
      <c r="J76">
        <f>+G76</f>
        <v>1.5200000052573159E-4</v>
      </c>
      <c r="O76">
        <f ca="1">+C$11+C$12*$F76</f>
        <v>1.1448616967465238E-4</v>
      </c>
      <c r="Q76" s="2">
        <f>+C76-15018.5</f>
        <v>34986.753900000003</v>
      </c>
    </row>
    <row r="77" spans="1:17">
      <c r="A77" s="30" t="s">
        <v>28</v>
      </c>
      <c r="B77" s="32" t="s">
        <v>29</v>
      </c>
      <c r="C77" s="30">
        <v>50022.377399999998</v>
      </c>
      <c r="D77" s="30">
        <v>2.2000000000000001E-3</v>
      </c>
      <c r="E77">
        <f>+(C77-C$7)/C$8</f>
        <v>-3971.4978233483785</v>
      </c>
      <c r="F77">
        <f>ROUND(2*E77,0)/2</f>
        <v>-3971.5</v>
      </c>
      <c r="G77">
        <f>+C77-(C$7+F77*C$8)</f>
        <v>3.5489999936544336E-3</v>
      </c>
      <c r="J77">
        <f>+G77</f>
        <v>3.5489999936544336E-3</v>
      </c>
      <c r="O77">
        <f ca="1">+C$11+C$12*$F77</f>
        <v>1.1743792253616223E-4</v>
      </c>
      <c r="Q77" s="2">
        <f>+C77-15018.5</f>
        <v>35003.877399999998</v>
      </c>
    </row>
    <row r="78" spans="1:17">
      <c r="A78" s="30" t="s">
        <v>28</v>
      </c>
      <c r="B78" s="31"/>
      <c r="C78" s="30">
        <v>50750.386400000003</v>
      </c>
      <c r="D78" s="30">
        <v>8.0000000000000004E-4</v>
      </c>
      <c r="E78">
        <f>+(C78-C$7)/C$8</f>
        <v>-3524.9996626772622</v>
      </c>
      <c r="F78">
        <f>ROUND(2*E78,0)/2</f>
        <v>-3525</v>
      </c>
      <c r="G78">
        <f>+C78-(C$7+F78*C$8)</f>
        <v>5.5000000429572538E-4</v>
      </c>
      <c r="J78">
        <f>+G78</f>
        <v>5.5000000429572538E-4</v>
      </c>
      <c r="O78">
        <f ca="1">+C$11+C$12*$F78</f>
        <v>2.4295769898037057E-4</v>
      </c>
      <c r="Q78" s="2">
        <f>+C78-15018.5</f>
        <v>35731.886400000003</v>
      </c>
    </row>
    <row r="79" spans="1:17">
      <c r="A79" s="55" t="s">
        <v>197</v>
      </c>
      <c r="B79" s="56" t="s">
        <v>41</v>
      </c>
      <c r="C79" s="55">
        <v>51842.811999999998</v>
      </c>
      <c r="D79" s="55" t="s">
        <v>63</v>
      </c>
      <c r="E79">
        <f>+(C79-C$7)/C$8</f>
        <v>-2854.9996749435468</v>
      </c>
      <c r="F79">
        <f>ROUND(2*E79,0)/2</f>
        <v>-2855</v>
      </c>
      <c r="G79">
        <f>+C79-(C$7+F79*C$8)</f>
        <v>5.2999999752501026E-4</v>
      </c>
      <c r="I79">
        <f>+G79</f>
        <v>5.2999999752501026E-4</v>
      </c>
      <c r="O79">
        <f ca="1">+C$11+C$12*$F79</f>
        <v>4.3130764347671898E-4</v>
      </c>
      <c r="Q79" s="2">
        <f>+C79-15018.5</f>
        <v>36824.311999999998</v>
      </c>
    </row>
    <row r="80" spans="1:17">
      <c r="A80" s="55" t="s">
        <v>197</v>
      </c>
      <c r="B80" s="56" t="s">
        <v>41</v>
      </c>
      <c r="C80" s="55">
        <v>52245.5409</v>
      </c>
      <c r="D80" s="55" t="s">
        <v>63</v>
      </c>
      <c r="E80">
        <f>+(C80-C$7)/C$8</f>
        <v>-2608.0003753482101</v>
      </c>
      <c r="F80">
        <f>ROUND(2*E80,0)/2</f>
        <v>-2608</v>
      </c>
      <c r="G80">
        <f>+C80-(C$7+F80*C$8)</f>
        <v>-6.120000034570694E-4</v>
      </c>
      <c r="K80">
        <f>+G80</f>
        <v>-6.120000034570694E-4</v>
      </c>
      <c r="O80">
        <f ca="1">+C$11+C$12*$F80</f>
        <v>5.0074411555223847E-4</v>
      </c>
      <c r="Q80" s="2">
        <f>+C80-15018.5</f>
        <v>37227.0409</v>
      </c>
    </row>
    <row r="81" spans="1:17">
      <c r="A81" s="55" t="s">
        <v>197</v>
      </c>
      <c r="B81" s="56" t="s">
        <v>41</v>
      </c>
      <c r="C81" s="55">
        <v>52602.619200000001</v>
      </c>
      <c r="D81" s="55" t="s">
        <v>63</v>
      </c>
      <c r="E81">
        <f>+(C81-C$7)/C$8</f>
        <v>-2388.9992309041604</v>
      </c>
      <c r="F81">
        <f>ROUND(2*E81,0)/2</f>
        <v>-2389</v>
      </c>
      <c r="G81">
        <f>+C81-(C$7+F81*C$8)</f>
        <v>1.2540000025182962E-3</v>
      </c>
      <c r="K81">
        <f>+G81</f>
        <v>1.2540000025182962E-3</v>
      </c>
      <c r="O81">
        <f ca="1">+C$11+C$12*$F81</f>
        <v>5.6230924666373153E-4</v>
      </c>
      <c r="Q81" s="2">
        <f>+C81-15018.5</f>
        <v>37584.119200000001</v>
      </c>
    </row>
    <row r="82" spans="1:17">
      <c r="A82" s="55" t="s">
        <v>197</v>
      </c>
      <c r="B82" s="56" t="s">
        <v>41</v>
      </c>
      <c r="C82" s="55">
        <v>52620.552600000003</v>
      </c>
      <c r="D82" s="55" t="s">
        <v>63</v>
      </c>
      <c r="E82">
        <f>+(C82-C$7)/C$8</f>
        <v>-2378.0004244133338</v>
      </c>
      <c r="F82">
        <f>ROUND(2*E82,0)/2</f>
        <v>-2378</v>
      </c>
      <c r="G82">
        <f>+C82-(C$7+F82*C$8)</f>
        <v>-6.9200000143609941E-4</v>
      </c>
      <c r="K82">
        <f>+G82</f>
        <v>-6.9200000143609941E-4</v>
      </c>
      <c r="O82">
        <f ca="1">+C$11+C$12*$F82</f>
        <v>5.6540155918531328E-4</v>
      </c>
      <c r="Q82" s="2">
        <f>+C82-15018.5</f>
        <v>37602.052600000003</v>
      </c>
    </row>
    <row r="83" spans="1:17">
      <c r="A83" s="55" t="s">
        <v>265</v>
      </c>
      <c r="B83" s="56" t="s">
        <v>41</v>
      </c>
      <c r="C83" s="55">
        <v>53197.744200000001</v>
      </c>
      <c r="D83" s="55" t="s">
        <v>63</v>
      </c>
      <c r="E83">
        <f>+(C83-C$7)/C$8</f>
        <v>-2024.0006967247807</v>
      </c>
      <c r="F83">
        <f>ROUND(2*E83,0)/2</f>
        <v>-2024</v>
      </c>
      <c r="G83">
        <f>+C83-(C$7+F83*C$8)</f>
        <v>-1.1359999989508651E-3</v>
      </c>
      <c r="K83">
        <f>+G83</f>
        <v>-1.1359999989508651E-3</v>
      </c>
      <c r="O83">
        <f ca="1">+C$11+C$12*$F83</f>
        <v>6.6491779851621984E-4</v>
      </c>
      <c r="Q83" s="2">
        <f>+C83-15018.5</f>
        <v>38179.244200000001</v>
      </c>
    </row>
    <row r="84" spans="1:17">
      <c r="A84" s="55" t="s">
        <v>265</v>
      </c>
      <c r="B84" s="56" t="s">
        <v>41</v>
      </c>
      <c r="C84" s="55">
        <v>53890.701699999998</v>
      </c>
      <c r="D84" s="55" t="s">
        <v>63</v>
      </c>
      <c r="E84">
        <f>+(C84-C$7)/C$8</f>
        <v>-1599.0001140764189</v>
      </c>
      <c r="F84">
        <f>ROUND(2*E84,0)/2</f>
        <v>-1599</v>
      </c>
      <c r="G84">
        <f>+C84-(C$7+F84*C$8)</f>
        <v>-1.8600000475998968E-4</v>
      </c>
      <c r="K84">
        <f>+G84</f>
        <v>-1.8600000475998968E-4</v>
      </c>
      <c r="O84">
        <f ca="1">+C$11+C$12*$F84</f>
        <v>7.8439350957733626E-4</v>
      </c>
      <c r="Q84" s="2">
        <f>+C84-15018.5</f>
        <v>38872.201699999998</v>
      </c>
    </row>
    <row r="85" spans="1:17">
      <c r="A85" s="33" t="s">
        <v>51</v>
      </c>
      <c r="B85" s="34" t="s">
        <v>41</v>
      </c>
      <c r="C85" s="35">
        <v>54001.5746</v>
      </c>
      <c r="D85" s="35">
        <v>2.9999999999999997E-4</v>
      </c>
      <c r="E85">
        <f>+(C85-C$7)/C$8</f>
        <v>-1531.0002048468996</v>
      </c>
      <c r="F85">
        <f>ROUND(2*E85,0)/2</f>
        <v>-1531</v>
      </c>
      <c r="G85">
        <f>+C85-(C$7+F85*C$8)</f>
        <v>-3.3400000393157825E-4</v>
      </c>
      <c r="K85">
        <f>+G85</f>
        <v>-3.3400000393157825E-4</v>
      </c>
      <c r="O85">
        <f ca="1">+C$11+C$12*$F85</f>
        <v>8.0350962334711502E-4</v>
      </c>
      <c r="Q85" s="2">
        <f>+C85-15018.5</f>
        <v>38983.0746</v>
      </c>
    </row>
    <row r="86" spans="1:17">
      <c r="A86" s="55" t="s">
        <v>265</v>
      </c>
      <c r="B86" s="56" t="s">
        <v>41</v>
      </c>
      <c r="C86" s="55">
        <v>54260.822399999997</v>
      </c>
      <c r="D86" s="55" t="s">
        <v>63</v>
      </c>
      <c r="E86">
        <f>+(C86-C$7)/C$8</f>
        <v>-1371.9998822437019</v>
      </c>
      <c r="F86">
        <f>ROUND(2*E86,0)/2</f>
        <v>-1372</v>
      </c>
      <c r="G86">
        <f>+C86-(C$7+F86*C$8)</f>
        <v>1.9199999223928899E-4</v>
      </c>
      <c r="K86">
        <f>+G86</f>
        <v>1.9199999223928899E-4</v>
      </c>
      <c r="O86">
        <f ca="1">+C$11+C$12*$F86</f>
        <v>8.4820759524997975E-4</v>
      </c>
      <c r="Q86" s="2">
        <f>+C86-15018.5</f>
        <v>39242.322399999997</v>
      </c>
    </row>
    <row r="87" spans="1:17">
      <c r="A87" s="55" t="s">
        <v>265</v>
      </c>
      <c r="B87" s="56" t="s">
        <v>41</v>
      </c>
      <c r="C87" s="55">
        <v>54296.692199999998</v>
      </c>
      <c r="D87" s="55" t="s">
        <v>63</v>
      </c>
      <c r="E87">
        <f>+(C87-C$7)/C$8</f>
        <v>-1350.0004293198494</v>
      </c>
      <c r="F87">
        <f>ROUND(2*E87,0)/2</f>
        <v>-1350</v>
      </c>
      <c r="G87">
        <f>+C87-(C$7+F87*C$8)</f>
        <v>-7.0000000414438546E-4</v>
      </c>
      <c r="K87">
        <f>+G87</f>
        <v>-7.0000000414438546E-4</v>
      </c>
      <c r="O87">
        <f ca="1">+C$11+C$12*$F87</f>
        <v>8.5439222029314336E-4</v>
      </c>
      <c r="Q87" s="2">
        <f>+C87-15018.5</f>
        <v>39278.192199999998</v>
      </c>
    </row>
    <row r="88" spans="1:17">
      <c r="A88" s="37" t="s">
        <v>46</v>
      </c>
      <c r="B88" s="38" t="s">
        <v>41</v>
      </c>
      <c r="C88" s="29">
        <v>54596.702599999997</v>
      </c>
      <c r="D88" s="29">
        <v>2.9999999999999997E-4</v>
      </c>
      <c r="E88">
        <f>+(C88-C$7)/C$8</f>
        <v>-1165.9998307253206</v>
      </c>
      <c r="F88">
        <f>ROUND(2*E88,0)/2</f>
        <v>-1166</v>
      </c>
      <c r="G88">
        <f>+C88-(C$7+F88*C$8)</f>
        <v>2.7599999157246202E-4</v>
      </c>
      <c r="K88">
        <f>+G88</f>
        <v>2.7599999157246202E-4</v>
      </c>
      <c r="O88">
        <f ca="1">+C$11+C$12*$F88</f>
        <v>9.0611817519960333E-4</v>
      </c>
      <c r="Q88" s="2">
        <f>+C88-15018.5</f>
        <v>39578.202599999997</v>
      </c>
    </row>
    <row r="89" spans="1:17">
      <c r="A89" s="37" t="s">
        <v>46</v>
      </c>
      <c r="B89" s="38" t="s">
        <v>41</v>
      </c>
      <c r="C89" s="29">
        <v>54622.790200000003</v>
      </c>
      <c r="D89" s="29">
        <v>4.0000000000000002E-4</v>
      </c>
      <c r="E89">
        <f>+(C89-C$7)/C$8</f>
        <v>-1149.9999386685924</v>
      </c>
      <c r="F89">
        <f>ROUND(2*E89,0)/2</f>
        <v>-1150</v>
      </c>
      <c r="G89">
        <f>+C89-(C$7+F89*C$8)</f>
        <v>1.0000000474974513E-4</v>
      </c>
      <c r="K89">
        <f>+G89</f>
        <v>1.0000000474974513E-4</v>
      </c>
      <c r="O89">
        <f ca="1">+C$11+C$12*$F89</f>
        <v>9.1061608432190411E-4</v>
      </c>
      <c r="Q89" s="2">
        <f>+C89-15018.5</f>
        <v>39604.290200000003</v>
      </c>
    </row>
    <row r="90" spans="1:17">
      <c r="A90" s="39" t="s">
        <v>46</v>
      </c>
      <c r="B90" s="40" t="s">
        <v>41</v>
      </c>
      <c r="C90" s="41">
        <v>54702.683599999997</v>
      </c>
      <c r="D90" s="41">
        <v>2.9999999999999997E-4</v>
      </c>
      <c r="E90">
        <f>+(C90-C$7)/C$8</f>
        <v>-1101.0001925806203</v>
      </c>
      <c r="F90">
        <f>ROUND(2*E90,0)/2</f>
        <v>-1101</v>
      </c>
      <c r="G90">
        <f>+C90-(C$7+F90*C$8)</f>
        <v>-3.1400000443682075E-4</v>
      </c>
      <c r="K90">
        <f>+G90</f>
        <v>-3.1400000443682075E-4</v>
      </c>
      <c r="O90">
        <f ca="1">+C$11+C$12*$F90</f>
        <v>9.2439093100895047E-4</v>
      </c>
      <c r="Q90" s="2">
        <f>+C90-15018.5</f>
        <v>39684.183599999997</v>
      </c>
    </row>
    <row r="91" spans="1:17">
      <c r="A91" s="39" t="s">
        <v>47</v>
      </c>
      <c r="B91" s="40" t="s">
        <v>41</v>
      </c>
      <c r="C91" s="41">
        <v>54751.597900000001</v>
      </c>
      <c r="D91" s="41">
        <v>2.0000000000000001E-4</v>
      </c>
      <c r="E91">
        <f>+(C91-C$7)/C$8</f>
        <v>-1071.0003643085565</v>
      </c>
      <c r="F91">
        <f>ROUND(2*E91,0)/2</f>
        <v>-1071</v>
      </c>
      <c r="G91">
        <f>+C91-(C$7+F91*C$8)</f>
        <v>-5.9400000463938341E-4</v>
      </c>
      <c r="K91">
        <f>+G91</f>
        <v>-5.9400000463938341E-4</v>
      </c>
      <c r="O91">
        <f ca="1">+C$11+C$12*$F91</f>
        <v>9.3282451061326463E-4</v>
      </c>
      <c r="Q91" s="2">
        <f>+C91-15018.5</f>
        <v>39733.097900000001</v>
      </c>
    </row>
    <row r="92" spans="1:17">
      <c r="A92" s="39" t="s">
        <v>48</v>
      </c>
      <c r="B92" s="40" t="s">
        <v>41</v>
      </c>
      <c r="C92" s="41">
        <v>55157.59</v>
      </c>
      <c r="D92" s="41">
        <v>2.9999999999999997E-4</v>
      </c>
      <c r="E92">
        <f>+(C92-C$7)/C$8</f>
        <v>-821.99969824948232</v>
      </c>
      <c r="F92">
        <f>ROUND(2*E92,0)/2</f>
        <v>-822</v>
      </c>
      <c r="G92">
        <f>+C92-(C$7+F92*C$8)</f>
        <v>4.9199999193660915E-4</v>
      </c>
      <c r="K92">
        <f>+G92</f>
        <v>4.9199999193660915E-4</v>
      </c>
      <c r="O92">
        <f ca="1">+C$11+C$12*$F92</f>
        <v>1.0028232213290717E-3</v>
      </c>
      <c r="Q92" s="2">
        <f>+C92-15018.5</f>
        <v>40139.089999999997</v>
      </c>
    </row>
    <row r="93" spans="1:17">
      <c r="A93" s="37" t="s">
        <v>44</v>
      </c>
      <c r="B93" s="38" t="s">
        <v>41</v>
      </c>
      <c r="C93" s="29">
        <v>55346.725599999998</v>
      </c>
      <c r="D93" s="29">
        <v>2.9999999999999997E-4</v>
      </c>
      <c r="E93">
        <f>+(C93-C$7)/C$8</f>
        <v>-706.00017418119751</v>
      </c>
      <c r="F93">
        <f>ROUND(2*E93,0)/2</f>
        <v>-706</v>
      </c>
      <c r="G93">
        <f>+C93-(C$7+F93*C$8)</f>
        <v>-2.8400000155670568E-4</v>
      </c>
      <c r="K93">
        <f>+G93</f>
        <v>-2.8400000155670568E-4</v>
      </c>
      <c r="O93">
        <f ca="1">+C$11+C$12*$F93</f>
        <v>1.0354330624657529E-3</v>
      </c>
      <c r="Q93" s="2">
        <f>+C93-15018.5</f>
        <v>40328.225599999998</v>
      </c>
    </row>
    <row r="94" spans="1:17">
      <c r="A94" s="30" t="s">
        <v>40</v>
      </c>
      <c r="B94" s="32" t="s">
        <v>41</v>
      </c>
      <c r="C94" s="30">
        <v>55669.563499999997</v>
      </c>
      <c r="D94" s="30">
        <v>5.0000000000000001E-4</v>
      </c>
      <c r="E94">
        <f>+(C94-C$7)/C$8</f>
        <v>-507.99914872007815</v>
      </c>
      <c r="F94">
        <f>ROUND(2*E94,0)/2</f>
        <v>-508</v>
      </c>
      <c r="G94">
        <f>+C94-(C$7+F94*C$8)</f>
        <v>1.3879999969503842E-3</v>
      </c>
      <c r="J94">
        <f>+G94</f>
        <v>1.3879999969503842E-3</v>
      </c>
      <c r="O94">
        <f ca="1">+C$11+C$12*$F94</f>
        <v>1.091094687854226E-3</v>
      </c>
      <c r="Q94" s="2">
        <f>+C94-15018.5</f>
        <v>40651.063499999997</v>
      </c>
    </row>
    <row r="95" spans="1:17">
      <c r="A95" s="37" t="s">
        <v>45</v>
      </c>
      <c r="B95" s="38" t="s">
        <v>41</v>
      </c>
      <c r="C95" s="29">
        <v>55747.825599999996</v>
      </c>
      <c r="D95" s="29">
        <v>2.9999999999999997E-4</v>
      </c>
      <c r="E95">
        <f>+(C95-C$7)/C$8</f>
        <v>-459.99990186975259</v>
      </c>
      <c r="F95">
        <f>ROUND(2*E95,0)/2</f>
        <v>-460</v>
      </c>
      <c r="G95">
        <f>+C95-(C$7+F95*C$8)</f>
        <v>1.5999999595806003E-4</v>
      </c>
      <c r="K95">
        <f>+G95</f>
        <v>1.5999999595806003E-4</v>
      </c>
      <c r="O95">
        <f ca="1">+C$11+C$12*$F95</f>
        <v>1.1045884152211286E-3</v>
      </c>
      <c r="Q95" s="2">
        <f>+C95-15018.5</f>
        <v>40729.325599999996</v>
      </c>
    </row>
    <row r="96" spans="1:17">
      <c r="A96" s="30" t="s">
        <v>40</v>
      </c>
      <c r="B96" s="32" t="s">
        <v>41</v>
      </c>
      <c r="C96" s="30">
        <v>55775.544699999999</v>
      </c>
      <c r="D96" s="30">
        <v>2.8999999999999998E-3</v>
      </c>
      <c r="E96">
        <f>+(C96-C$7)/C$8</f>
        <v>-442.99938791256312</v>
      </c>
      <c r="F96">
        <f>ROUND(2*E96,0)/2</f>
        <v>-443</v>
      </c>
      <c r="G96">
        <f>+C96-(C$7+F96*C$8)</f>
        <v>9.9799999588867649E-4</v>
      </c>
      <c r="J96">
        <f>+G96</f>
        <v>9.9799999588867649E-4</v>
      </c>
      <c r="O96">
        <f ca="1">+C$11+C$12*$F96</f>
        <v>1.1093674436635733E-3</v>
      </c>
      <c r="Q96" s="2">
        <f>+C96-15018.5</f>
        <v>40757.044699999999</v>
      </c>
    </row>
    <row r="97" spans="1:17">
      <c r="A97" s="55" t="s">
        <v>320</v>
      </c>
      <c r="B97" s="56" t="s">
        <v>29</v>
      </c>
      <c r="C97" s="55">
        <v>55802.445500000002</v>
      </c>
      <c r="D97" s="55" t="s">
        <v>63</v>
      </c>
      <c r="E97">
        <f>+(C97-C$7)/C$8</f>
        <v>-426.50074885647609</v>
      </c>
      <c r="F97">
        <f>ROUND(2*E97,0)/2</f>
        <v>-426.5</v>
      </c>
      <c r="G97">
        <f>+C97-(C$7+F97*C$8)</f>
        <v>-1.2209999986225739E-3</v>
      </c>
      <c r="K97">
        <f>+G97</f>
        <v>-1.2209999986225739E-3</v>
      </c>
      <c r="O97">
        <f ca="1">+C$11+C$12*$F97</f>
        <v>1.114005912445946E-3</v>
      </c>
      <c r="Q97" s="2">
        <f>+C97-15018.5</f>
        <v>40783.945500000002</v>
      </c>
    </row>
    <row r="98" spans="1:17">
      <c r="A98" s="57" t="s">
        <v>52</v>
      </c>
      <c r="B98" s="58" t="s">
        <v>41</v>
      </c>
      <c r="C98" s="59">
        <v>56153.817199999998</v>
      </c>
      <c r="D98" s="59">
        <v>1E-4</v>
      </c>
      <c r="E98">
        <f>+(C98-C$7)/C$8</f>
        <v>-210.99954246770858</v>
      </c>
      <c r="F98">
        <f>ROUND(2*E98,0)/2</f>
        <v>-211</v>
      </c>
      <c r="G98">
        <f>+C98-(C$7+F98*C$8)</f>
        <v>7.4599999788915738E-4</v>
      </c>
      <c r="K98">
        <f>+G98</f>
        <v>7.4599999788915738E-4</v>
      </c>
      <c r="O98">
        <f ca="1">+C$11+C$12*$F98</f>
        <v>1.1745871259369357E-3</v>
      </c>
      <c r="Q98" s="2">
        <f>+C98-15018.5</f>
        <v>41135.317199999998</v>
      </c>
    </row>
    <row r="99" spans="1:17">
      <c r="A99" s="57" t="s">
        <v>50</v>
      </c>
      <c r="B99" s="58" t="s">
        <v>41</v>
      </c>
      <c r="C99" s="59">
        <v>56220.669199999997</v>
      </c>
      <c r="D99" s="59">
        <v>3.0000000000000003E-4</v>
      </c>
      <c r="E99">
        <f>+(C99-C$7)/C$8</f>
        <v>-169.99827045433406</v>
      </c>
      <c r="F99">
        <f>ROUND(2*E99,0)/2</f>
        <v>-170</v>
      </c>
      <c r="G99">
        <f>+C99-(C$7+F99*C$8)</f>
        <v>2.8199999942444265E-3</v>
      </c>
      <c r="K99">
        <f>+G99</f>
        <v>2.8199999942444265E-3</v>
      </c>
      <c r="O99">
        <f ca="1">+C$11+C$12*$F99</f>
        <v>1.1861130180628315E-3</v>
      </c>
      <c r="Q99" s="2">
        <f>+C99-15018.5</f>
        <v>41202.169199999997</v>
      </c>
    </row>
    <row r="100" spans="1:17">
      <c r="A100" s="77" t="s">
        <v>351</v>
      </c>
      <c r="B100" s="16"/>
      <c r="C100" s="9">
        <v>56497.849000000002</v>
      </c>
      <c r="D100" s="9"/>
      <c r="E100">
        <f>+(C100-C$7)/C$8</f>
        <v>0</v>
      </c>
      <c r="F100">
        <f>ROUND(2*E100,0)/2</f>
        <v>0</v>
      </c>
      <c r="G100">
        <f>+C100-(C$7+F100*C$8)</f>
        <v>0</v>
      </c>
      <c r="K100">
        <f>+G100</f>
        <v>0</v>
      </c>
      <c r="O100">
        <f ca="1">+C$11+C$12*$F100</f>
        <v>1.2339033024872782E-3</v>
      </c>
      <c r="Q100" s="2">
        <f>+C100-15018.5</f>
        <v>41479.349000000002</v>
      </c>
    </row>
    <row r="101" spans="1:17">
      <c r="A101" s="57" t="s">
        <v>51</v>
      </c>
      <c r="B101" s="58" t="s">
        <v>41</v>
      </c>
      <c r="C101" s="59">
        <v>56497.849399999999</v>
      </c>
      <c r="D101" s="59">
        <v>2.0000000000000001E-4</v>
      </c>
      <c r="E101">
        <f>+(C101-C$7)/C$8</f>
        <v>2.4532562510264278E-4</v>
      </c>
      <c r="F101">
        <f>ROUND(2*E101,0)/2</f>
        <v>0</v>
      </c>
      <c r="G101">
        <f>+C101-(C$7+F101*C$8)</f>
        <v>3.9999999717110768E-4</v>
      </c>
      <c r="K101">
        <f>+G101</f>
        <v>3.9999999717110768E-4</v>
      </c>
      <c r="O101">
        <f ca="1">+C$11+C$12*$F101</f>
        <v>1.2339033024872782E-3</v>
      </c>
      <c r="Q101" s="2">
        <f>+C101-15018.5</f>
        <v>41479.349399999999</v>
      </c>
    </row>
    <row r="102" spans="1:17" ht="12" customHeight="1">
      <c r="A102" s="60" t="s">
        <v>337</v>
      </c>
      <c r="B102" s="61" t="s">
        <v>41</v>
      </c>
      <c r="C102" s="62">
        <v>57221.789199999999</v>
      </c>
      <c r="D102" s="62">
        <v>2.9999999999999997E-4</v>
      </c>
      <c r="E102">
        <f>+(C102-C$7)/C$8</f>
        <v>444.00270839491861</v>
      </c>
      <c r="F102">
        <f>ROUND(2*E102,0)/2</f>
        <v>444</v>
      </c>
      <c r="G102">
        <f>+C102-(C$7+F102*C$8)</f>
        <v>4.4159999961266294E-3</v>
      </c>
      <c r="K102">
        <f>+G102</f>
        <v>4.4159999961266294E-3</v>
      </c>
      <c r="O102">
        <f ca="1">+C$11+C$12*$F102</f>
        <v>1.358720280631127E-3</v>
      </c>
      <c r="Q102" s="2">
        <f>+C102-15018.5</f>
        <v>42203.289199999999</v>
      </c>
    </row>
    <row r="103" spans="1:17" ht="12" customHeight="1">
      <c r="A103" s="60" t="s">
        <v>338</v>
      </c>
      <c r="B103" s="61" t="s">
        <v>41</v>
      </c>
      <c r="C103" s="62">
        <v>57588.647499999999</v>
      </c>
      <c r="D103" s="62">
        <v>4.0000000000000002E-4</v>
      </c>
      <c r="E103">
        <f>+(C103-C$7)/C$8</f>
        <v>669.00206441514808</v>
      </c>
      <c r="F103">
        <f>ROUND(2*E103,0)/2</f>
        <v>669</v>
      </c>
      <c r="G103">
        <f>+C103-(C$7+F103*C$8)</f>
        <v>3.3659999971860088E-3</v>
      </c>
      <c r="K103">
        <f>+G103</f>
        <v>3.3659999971860088E-3</v>
      </c>
      <c r="O103">
        <f ca="1">+C$11+C$12*$F103</f>
        <v>1.4219721276634827E-3</v>
      </c>
      <c r="Q103" s="2">
        <f>+C103-15018.5</f>
        <v>42570.147499999999</v>
      </c>
    </row>
    <row r="104" spans="1:17" ht="12" customHeight="1">
      <c r="A104" s="60" t="s">
        <v>339</v>
      </c>
      <c r="B104" s="61" t="s">
        <v>41</v>
      </c>
      <c r="C104" s="62">
        <v>57601.6895</v>
      </c>
      <c r="D104" s="62">
        <v>2.0000000000000001E-4</v>
      </c>
      <c r="E104">
        <f>+(C104-C$7)/C$8</f>
        <v>677.00090647819013</v>
      </c>
      <c r="F104">
        <f>ROUND(2*E104,0)/2</f>
        <v>677</v>
      </c>
      <c r="G104">
        <f>+C104-(C$7+F104*C$8)</f>
        <v>1.4779999983147718E-3</v>
      </c>
      <c r="K104">
        <f>+G104</f>
        <v>1.4779999983147718E-3</v>
      </c>
      <c r="O104">
        <f ca="1">+C$11+C$12*$F104</f>
        <v>1.4242210822246332E-3</v>
      </c>
      <c r="Q104" s="2">
        <f>+C104-15018.5</f>
        <v>42583.1895</v>
      </c>
    </row>
    <row r="105" spans="1:17" ht="12" customHeight="1">
      <c r="A105" s="60" t="s">
        <v>339</v>
      </c>
      <c r="B105" s="61" t="s">
        <v>41</v>
      </c>
      <c r="C105" s="62">
        <v>57650.603000000003</v>
      </c>
      <c r="D105" s="62">
        <v>2.0000000000000001E-4</v>
      </c>
      <c r="E105">
        <f>+(C105-C$7)/C$8</f>
        <v>707.00024409899913</v>
      </c>
      <c r="F105">
        <f>ROUND(2*E105,0)/2</f>
        <v>707</v>
      </c>
      <c r="G105">
        <f>+C105-(C$7+F105*C$8)</f>
        <v>3.9800000376999378E-4</v>
      </c>
      <c r="K105">
        <f>+G105</f>
        <v>3.9800000376999378E-4</v>
      </c>
      <c r="O105">
        <f ca="1">+C$11+C$12*$F105</f>
        <v>1.4326546618289473E-3</v>
      </c>
      <c r="Q105" s="2">
        <f>+C105-15018.5</f>
        <v>42632.103000000003</v>
      </c>
    </row>
    <row r="106" spans="1:17" ht="12" customHeight="1">
      <c r="A106" s="63" t="s">
        <v>0</v>
      </c>
      <c r="B106" s="64" t="s">
        <v>41</v>
      </c>
      <c r="C106" s="65">
        <v>57655.495699999999</v>
      </c>
      <c r="D106" s="65">
        <v>2.0000000000000001E-4</v>
      </c>
      <c r="E106">
        <f>+(C106-C$7)/C$8</f>
        <v>710.00100583506844</v>
      </c>
      <c r="F106">
        <f>ROUND(2*E106,0)/2</f>
        <v>710</v>
      </c>
      <c r="G106">
        <f>+C106-(C$7+F106*C$8)</f>
        <v>1.6399999949499033E-3</v>
      </c>
      <c r="K106">
        <f>+G106</f>
        <v>1.6399999949499033E-3</v>
      </c>
      <c r="O106">
        <f ca="1">+C$11+C$12*$F106</f>
        <v>1.4334980197893787E-3</v>
      </c>
      <c r="Q106" s="2">
        <f>+C106-15018.5</f>
        <v>42636.995699999999</v>
      </c>
    </row>
    <row r="107" spans="1:17" ht="12" customHeight="1">
      <c r="A107" s="33" t="s">
        <v>340</v>
      </c>
      <c r="B107" s="34" t="s">
        <v>41</v>
      </c>
      <c r="C107" s="35">
        <v>58307.689599999998</v>
      </c>
      <c r="D107" s="35">
        <v>1E-4</v>
      </c>
      <c r="E107">
        <f>+(C107-C$7)/C$8</f>
        <v>1110.000699178034</v>
      </c>
      <c r="F107">
        <f>ROUND(2*E107,0)/2</f>
        <v>1110</v>
      </c>
      <c r="G107">
        <f>+C107-(C$7+F107*C$8)</f>
        <v>1.1399999930290505E-3</v>
      </c>
      <c r="K107">
        <f>+G107</f>
        <v>1.1399999930290505E-3</v>
      </c>
      <c r="O107">
        <f ca="1">+C$11+C$12*$F107</f>
        <v>1.5459457478469002E-3</v>
      </c>
      <c r="Q107" s="2">
        <f>+C107-15018.5</f>
        <v>43289.189599999998</v>
      </c>
    </row>
    <row r="108" spans="1:17" ht="12" customHeight="1">
      <c r="A108" s="33" t="s">
        <v>340</v>
      </c>
      <c r="B108" s="34" t="s">
        <v>41</v>
      </c>
      <c r="C108" s="35">
        <v>58356.6037</v>
      </c>
      <c r="D108" s="35">
        <v>1E-4</v>
      </c>
      <c r="E108">
        <f>+(C108-C$7)/C$8</f>
        <v>1140.0004047872828</v>
      </c>
      <c r="F108">
        <f>ROUND(2*E108,0)/2</f>
        <v>1140</v>
      </c>
      <c r="G108">
        <f>+C108-(C$7+F108*C$8)</f>
        <v>6.5999999787891284E-4</v>
      </c>
      <c r="K108">
        <f>+G108</f>
        <v>6.5999999787891284E-4</v>
      </c>
      <c r="O108">
        <f ca="1">+C$11+C$12*$F108</f>
        <v>1.5543793274512144E-3</v>
      </c>
      <c r="Q108" s="2">
        <f>+C108-15018.5</f>
        <v>43338.1037</v>
      </c>
    </row>
    <row r="109" spans="1:17" ht="12" customHeight="1">
      <c r="A109" s="66" t="s">
        <v>341</v>
      </c>
      <c r="B109" s="67" t="s">
        <v>41</v>
      </c>
      <c r="C109" s="68">
        <v>58723.465300000003</v>
      </c>
      <c r="D109" s="68">
        <v>2.0000000000000001E-4</v>
      </c>
      <c r="E109">
        <f>+(C109-C$7)/C$8</f>
        <v>1365.001784743936</v>
      </c>
      <c r="F109">
        <f>ROUND(2*E109,0)/2</f>
        <v>1365</v>
      </c>
      <c r="G109">
        <f>+C109-(C$7+F109*C$8)</f>
        <v>2.9100000028847717E-3</v>
      </c>
      <c r="K109">
        <f>+G109</f>
        <v>2.9100000028847717E-3</v>
      </c>
      <c r="O109">
        <f ca="1">+C$11+C$12*$F109</f>
        <v>1.6176311744835702E-3</v>
      </c>
      <c r="Q109" s="2">
        <f>+C109-15018.5</f>
        <v>43704.965300000003</v>
      </c>
    </row>
    <row r="110" spans="1:17" ht="12" customHeight="1">
      <c r="A110" s="66" t="s">
        <v>341</v>
      </c>
      <c r="B110" s="67" t="s">
        <v>41</v>
      </c>
      <c r="C110" s="68">
        <v>58754.443099999997</v>
      </c>
      <c r="D110" s="68">
        <v>1E-4</v>
      </c>
      <c r="E110">
        <f>+(C110-C$7)/C$8</f>
        <v>1384.0009052515597</v>
      </c>
      <c r="F110">
        <f>ROUND(2*E110,0)/2</f>
        <v>1384</v>
      </c>
      <c r="G110">
        <f>+C110-(C$7+F110*C$8)</f>
        <v>1.4759999976377003E-3</v>
      </c>
      <c r="K110">
        <f>+G110</f>
        <v>1.4759999976377003E-3</v>
      </c>
      <c r="O110">
        <f ca="1">+C$11+C$12*$F110</f>
        <v>1.6229724415663025E-3</v>
      </c>
      <c r="Q110" s="2">
        <f>+C110-15018.5</f>
        <v>43735.943099999997</v>
      </c>
    </row>
    <row r="111" spans="1:17" ht="12" customHeight="1">
      <c r="A111" s="69" t="s">
        <v>342</v>
      </c>
      <c r="B111" s="34" t="s">
        <v>41</v>
      </c>
      <c r="C111" s="35">
        <v>59075.649100000002</v>
      </c>
      <c r="D111" s="35">
        <v>2.9999999999999997E-4</v>
      </c>
      <c r="E111">
        <f>+(C111-C$7)/C$8</f>
        <v>1581.0010634865926</v>
      </c>
      <c r="F111">
        <f>ROUND(2*E111,0)/2</f>
        <v>1581</v>
      </c>
      <c r="G111">
        <f>+C111-(C$7+F111*C$8)</f>
        <v>1.7339999976684339E-3</v>
      </c>
      <c r="K111">
        <f>+G111</f>
        <v>1.7339999976684339E-3</v>
      </c>
      <c r="O111">
        <f ca="1">+C$11+C$12*$F111</f>
        <v>1.6783529476346317E-3</v>
      </c>
      <c r="Q111" s="2">
        <f>+C111-15018.5</f>
        <v>44057.149100000002</v>
      </c>
    </row>
    <row r="112" spans="1:17" ht="12" customHeight="1">
      <c r="A112" s="69" t="s">
        <v>342</v>
      </c>
      <c r="B112" s="34" t="s">
        <v>41</v>
      </c>
      <c r="C112" s="35">
        <v>59155.543400000002</v>
      </c>
      <c r="D112" s="35">
        <v>2.9999999999999997E-4</v>
      </c>
      <c r="E112">
        <f>+(C112-C$7)/C$8</f>
        <v>1630.0013615572291</v>
      </c>
      <c r="F112">
        <f>ROUND(2*E112,0)/2</f>
        <v>1630</v>
      </c>
      <c r="G112">
        <f>+C112-(C$7+F112*C$8)</f>
        <v>2.2200000021257438E-3</v>
      </c>
      <c r="K112">
        <f>+G112</f>
        <v>2.2200000021257438E-3</v>
      </c>
      <c r="O112">
        <f ca="1">+C$11+C$12*$F112</f>
        <v>1.6921277943216782E-3</v>
      </c>
      <c r="Q112" s="2">
        <f>+C112-15018.5</f>
        <v>44137.043400000002</v>
      </c>
    </row>
    <row r="113" spans="1:17" ht="12" customHeight="1">
      <c r="A113" s="77" t="s">
        <v>346</v>
      </c>
      <c r="B113" s="78" t="s">
        <v>41</v>
      </c>
      <c r="C113" s="79">
        <v>59168.587099999997</v>
      </c>
      <c r="D113" s="79">
        <v>5.0000000000000001E-4</v>
      </c>
      <c r="E113">
        <f>+(C113-C$7)/C$8</f>
        <v>1638.0012462541813</v>
      </c>
      <c r="F113">
        <f>ROUND(2*E113,0)/2</f>
        <v>1638</v>
      </c>
      <c r="G113">
        <f>+C113-(C$7+F113*C$8)</f>
        <v>2.0319999966886826E-3</v>
      </c>
      <c r="K113">
        <f>+G113</f>
        <v>2.0319999966886826E-3</v>
      </c>
      <c r="O113">
        <f ca="1">+C$11+C$12*$F113</f>
        <v>1.6943767488828286E-3</v>
      </c>
      <c r="Q113" s="2">
        <f>+C113-15018.5</f>
        <v>44150.087099999997</v>
      </c>
    </row>
    <row r="114" spans="1:17" ht="12" customHeight="1">
      <c r="A114" s="70" t="s">
        <v>343</v>
      </c>
      <c r="B114" s="71" t="s">
        <v>41</v>
      </c>
      <c r="C114" s="75">
        <v>59540.338000000003</v>
      </c>
      <c r="D114" s="70">
        <v>2.0000000000000001E-4</v>
      </c>
      <c r="E114">
        <f>+(C114-C$7)/C$8</f>
        <v>1866.0013026790793</v>
      </c>
      <c r="F114">
        <f>ROUND(2*E114,0)/2</f>
        <v>1866</v>
      </c>
      <c r="G114">
        <f>+C114-(C$7+F114*C$8)</f>
        <v>2.1239999987301417E-3</v>
      </c>
      <c r="K114">
        <f>+G114</f>
        <v>2.1239999987301417E-3</v>
      </c>
      <c r="O114">
        <f ca="1">+C$11+C$12*$F114</f>
        <v>1.7584719538756158E-3</v>
      </c>
      <c r="Q114" s="2">
        <f>+C114-15018.5</f>
        <v>44521.838000000003</v>
      </c>
    </row>
    <row r="115" spans="1:17" ht="12" customHeight="1">
      <c r="A115" s="70" t="s">
        <v>343</v>
      </c>
      <c r="B115" s="71" t="s">
        <v>41</v>
      </c>
      <c r="C115" s="75">
        <v>59548.491399999999</v>
      </c>
      <c r="D115" s="70">
        <v>2.9999999999999997E-4</v>
      </c>
      <c r="E115">
        <f>+(C115-C$7)/C$8</f>
        <v>1871.0018975937217</v>
      </c>
      <c r="F115">
        <f>ROUND(2*E115,0)/2</f>
        <v>1871</v>
      </c>
      <c r="G115">
        <f>+C115-(C$7+F115*C$8)</f>
        <v>3.0939999996917322E-3</v>
      </c>
      <c r="K115">
        <f>+G115</f>
        <v>3.0939999996917322E-3</v>
      </c>
      <c r="O115">
        <f ca="1">+C$11+C$12*$F115</f>
        <v>1.7598775504763346E-3</v>
      </c>
      <c r="Q115" s="2">
        <f>+C115-15018.5</f>
        <v>44529.991399999999</v>
      </c>
    </row>
    <row r="116" spans="1:17" ht="12" customHeight="1">
      <c r="A116" s="74" t="s">
        <v>345</v>
      </c>
      <c r="B116" s="73" t="s">
        <v>41</v>
      </c>
      <c r="C116" s="76">
        <v>59742.518809999805</v>
      </c>
      <c r="D116" s="76">
        <v>6.9999999999999999E-4</v>
      </c>
      <c r="E116">
        <f>+(C116-C$7)/C$8</f>
        <v>1990.0016375484381</v>
      </c>
      <c r="F116">
        <f>ROUND(2*E116,0)/2</f>
        <v>1990</v>
      </c>
      <c r="G116">
        <f>+C116-(C$7+F116*C$8)</f>
        <v>2.6699998052208684E-3</v>
      </c>
      <c r="K116">
        <f>+G116</f>
        <v>2.6699998052208684E-3</v>
      </c>
      <c r="O116">
        <f ca="1">+C$11+C$12*$F116</f>
        <v>1.7933307495734472E-3</v>
      </c>
      <c r="Q116" s="2">
        <f>+C116-15018.5</f>
        <v>44724.018809999805</v>
      </c>
    </row>
    <row r="117" spans="1:17" ht="15" customHeight="1">
      <c r="A117" s="72" t="s">
        <v>344</v>
      </c>
      <c r="B117" s="71" t="s">
        <v>41</v>
      </c>
      <c r="C117" s="75">
        <v>59789.802600000003</v>
      </c>
      <c r="D117" s="70">
        <v>4.0000000000000002E-4</v>
      </c>
      <c r="E117">
        <f>+(C117-C$7)/C$8</f>
        <v>2019.0014511010831</v>
      </c>
      <c r="F117">
        <f>ROUND(2*E117,0)/2</f>
        <v>2019</v>
      </c>
      <c r="G117">
        <f>+C117-(C$7+F117*C$8)</f>
        <v>2.3660000006202608E-3</v>
      </c>
      <c r="K117">
        <f>+G117</f>
        <v>2.3660000006202608E-3</v>
      </c>
      <c r="O117">
        <f ca="1">+C$11+C$12*$F117</f>
        <v>1.8014832098576176E-3</v>
      </c>
      <c r="Q117" s="2">
        <f>+C117-15018.5</f>
        <v>44771.302600000003</v>
      </c>
    </row>
    <row r="118" spans="1:17" ht="15">
      <c r="A118" s="77" t="s">
        <v>346</v>
      </c>
      <c r="B118" s="78" t="s">
        <v>41</v>
      </c>
      <c r="C118" s="79">
        <v>60187.641900000002</v>
      </c>
      <c r="D118" s="79">
        <v>2.9999999999999997E-4</v>
      </c>
      <c r="E118">
        <f>+(C118-C$7)/C$8</f>
        <v>2263.0018902339548</v>
      </c>
      <c r="F118">
        <f>ROUND(2*E118,0)/2</f>
        <v>2263</v>
      </c>
      <c r="G118">
        <f>+C118-(C$7+F118*C$8)</f>
        <v>3.0820000029052608E-3</v>
      </c>
      <c r="K118">
        <f>+G118</f>
        <v>3.0820000029052608E-3</v>
      </c>
      <c r="O118">
        <f ca="1">+C$11+C$12*$F118</f>
        <v>1.8700763239727057E-3</v>
      </c>
      <c r="Q118" s="2">
        <f>+C118-15018.5</f>
        <v>45169.141900000002</v>
      </c>
    </row>
    <row r="119" spans="1:17" ht="12.75" customHeight="1">
      <c r="A119" s="77" t="s">
        <v>346</v>
      </c>
      <c r="B119" s="78" t="s">
        <v>41</v>
      </c>
      <c r="C119" s="79">
        <v>60228.402800000003</v>
      </c>
      <c r="D119" s="79">
        <v>4.0000000000000002E-4</v>
      </c>
      <c r="E119">
        <f>+(C119-C$7)/C$8</f>
        <v>2288.0011235913717</v>
      </c>
      <c r="F119">
        <f>ROUND(2*E119,0)/2</f>
        <v>2288</v>
      </c>
      <c r="G119">
        <f>+C119-(C$7+F119*C$8)</f>
        <v>1.8320000017411076E-3</v>
      </c>
      <c r="K119">
        <f>+G119</f>
        <v>1.8320000017411076E-3</v>
      </c>
      <c r="O119">
        <f ca="1">+C$11+C$12*$F119</f>
        <v>1.8771043069763008E-3</v>
      </c>
      <c r="Q119" s="2">
        <f>+C119-15018.5</f>
        <v>45209.902800000003</v>
      </c>
    </row>
    <row r="120" spans="1:17">
      <c r="B120" s="16"/>
      <c r="C120" s="9"/>
      <c r="D120" s="9"/>
    </row>
    <row r="121" spans="1:17">
      <c r="B121" s="16"/>
      <c r="C121" s="9"/>
      <c r="D121" s="9"/>
    </row>
    <row r="122" spans="1:17">
      <c r="B122" s="16"/>
      <c r="C122" s="9"/>
      <c r="D122" s="9"/>
    </row>
    <row r="123" spans="1:17">
      <c r="B123" s="16"/>
      <c r="C123" s="9"/>
      <c r="D123" s="9"/>
    </row>
    <row r="124" spans="1:17">
      <c r="B124" s="16"/>
      <c r="C124" s="9"/>
      <c r="D124" s="9"/>
    </row>
    <row r="125" spans="1:17">
      <c r="B125" s="16"/>
      <c r="C125" s="9"/>
      <c r="D125" s="9"/>
    </row>
    <row r="126" spans="1:17">
      <c r="B126" s="16"/>
      <c r="C126" s="9"/>
      <c r="D126" s="9"/>
    </row>
    <row r="127" spans="1:17">
      <c r="B127" s="16"/>
      <c r="C127" s="9"/>
      <c r="D127" s="9"/>
    </row>
    <row r="128" spans="1:17">
      <c r="B128" s="16"/>
      <c r="C128" s="9"/>
      <c r="D128" s="9"/>
    </row>
    <row r="129" spans="2:4">
      <c r="B129" s="16"/>
      <c r="C129" s="9"/>
      <c r="D129" s="9"/>
    </row>
    <row r="130" spans="2:4">
      <c r="B130" s="16"/>
      <c r="C130" s="9"/>
      <c r="D130" s="9"/>
    </row>
    <row r="131" spans="2:4">
      <c r="B131" s="16"/>
      <c r="C131" s="9"/>
      <c r="D131" s="9"/>
    </row>
    <row r="132" spans="2:4">
      <c r="B132" s="16"/>
      <c r="C132" s="9"/>
      <c r="D132" s="9"/>
    </row>
    <row r="133" spans="2:4">
      <c r="B133" s="16"/>
      <c r="C133" s="9"/>
      <c r="D133" s="9"/>
    </row>
    <row r="134" spans="2:4">
      <c r="B134" s="16"/>
      <c r="C134" s="9"/>
      <c r="D134" s="9"/>
    </row>
    <row r="135" spans="2:4">
      <c r="B135" s="16"/>
      <c r="C135" s="9"/>
      <c r="D135" s="9"/>
    </row>
    <row r="136" spans="2:4">
      <c r="B136" s="16"/>
      <c r="C136" s="9"/>
      <c r="D136" s="9"/>
    </row>
    <row r="137" spans="2:4">
      <c r="B137" s="16"/>
      <c r="C137" s="9"/>
      <c r="D137" s="9"/>
    </row>
    <row r="138" spans="2:4">
      <c r="B138" s="16"/>
      <c r="C138" s="9"/>
      <c r="D138" s="9"/>
    </row>
    <row r="139" spans="2:4">
      <c r="B139" s="16"/>
      <c r="C139" s="9"/>
      <c r="D139" s="9"/>
    </row>
    <row r="140" spans="2:4">
      <c r="B140" s="16"/>
      <c r="C140" s="9"/>
      <c r="D140" s="9"/>
    </row>
    <row r="141" spans="2:4">
      <c r="B141" s="16"/>
      <c r="C141" s="9"/>
      <c r="D141" s="9"/>
    </row>
    <row r="142" spans="2:4">
      <c r="B142" s="16"/>
      <c r="C142" s="9"/>
      <c r="D142" s="9"/>
    </row>
    <row r="143" spans="2:4">
      <c r="B143" s="16"/>
      <c r="C143" s="9"/>
      <c r="D143" s="9"/>
    </row>
    <row r="144" spans="2:4">
      <c r="B144" s="16"/>
      <c r="C144" s="9"/>
      <c r="D144" s="9"/>
    </row>
    <row r="145" spans="2:4">
      <c r="B145" s="16"/>
      <c r="C145" s="9"/>
      <c r="D145" s="9"/>
    </row>
    <row r="146" spans="2:4">
      <c r="B146" s="16"/>
      <c r="C146" s="9"/>
      <c r="D146" s="9"/>
    </row>
    <row r="147" spans="2:4">
      <c r="B147" s="16"/>
      <c r="C147" s="9"/>
      <c r="D147" s="9"/>
    </row>
    <row r="148" spans="2:4">
      <c r="B148" s="16"/>
      <c r="C148" s="9"/>
      <c r="D148" s="9"/>
    </row>
    <row r="149" spans="2:4">
      <c r="B149" s="16"/>
      <c r="C149" s="9"/>
      <c r="D149" s="9"/>
    </row>
    <row r="150" spans="2:4">
      <c r="B150" s="16"/>
      <c r="C150" s="9"/>
      <c r="D150" s="9"/>
    </row>
    <row r="151" spans="2:4">
      <c r="B151" s="16"/>
      <c r="C151" s="9"/>
      <c r="D151" s="9"/>
    </row>
    <row r="152" spans="2:4">
      <c r="C152" s="9"/>
      <c r="D152" s="9"/>
    </row>
    <row r="153" spans="2:4">
      <c r="C153" s="9"/>
      <c r="D153" s="9"/>
    </row>
    <row r="154" spans="2:4">
      <c r="C154" s="9"/>
      <c r="D154" s="9"/>
    </row>
    <row r="155" spans="2:4">
      <c r="C155" s="9"/>
      <c r="D155" s="9"/>
    </row>
    <row r="156" spans="2:4">
      <c r="C156" s="9"/>
      <c r="D156" s="9"/>
    </row>
    <row r="157" spans="2:4">
      <c r="C157" s="9"/>
      <c r="D157" s="9"/>
    </row>
    <row r="158" spans="2:4">
      <c r="C158" s="9"/>
      <c r="D158" s="9"/>
    </row>
    <row r="159" spans="2:4">
      <c r="C159" s="9"/>
      <c r="D159" s="9"/>
    </row>
    <row r="160" spans="2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</sheetData>
  <protectedRanges>
    <protectedRange sqref="A106:D108" name="Range1"/>
  </protectedRanges>
  <sortState xmlns:xlrd2="http://schemas.microsoft.com/office/spreadsheetml/2017/richdata2" ref="A21:AC122">
    <sortCondition ref="C21:C122"/>
  </sortState>
  <phoneticPr fontId="8" type="noConversion"/>
  <hyperlinks>
    <hyperlink ref="H64715" r:id="rId1" display="http://vsolj.cetus-net.org/bulletin.html" xr:uid="{00000000-0004-0000-0000-000000000000}"/>
    <hyperlink ref="H64708" r:id="rId2" display="https://www.aavso.org/ejaavso" xr:uid="{00000000-0004-0000-0000-000001000000}"/>
    <hyperlink ref="I64715" r:id="rId3" display="http://vsolj.cetus-net.org/bulletin.html" xr:uid="{00000000-0004-0000-0000-000002000000}"/>
    <hyperlink ref="AQ58366" r:id="rId4" display="http://cdsbib.u-strasbg.fr/cgi-bin/cdsbib?1990RMxAA..21..381G" xr:uid="{00000000-0004-0000-0000-000003000000}"/>
    <hyperlink ref="H64712" r:id="rId5" display="https://www.aavso.org/ejaavso" xr:uid="{00000000-0004-0000-0000-000004000000}"/>
    <hyperlink ref="AP5730" r:id="rId6" display="http://cdsbib.u-strasbg.fr/cgi-bin/cdsbib?1990RMxAA..21..381G" xr:uid="{00000000-0004-0000-0000-000005000000}"/>
    <hyperlink ref="AP5733" r:id="rId7" display="http://cdsbib.u-strasbg.fr/cgi-bin/cdsbib?1990RMxAA..21..381G" xr:uid="{00000000-0004-0000-0000-000006000000}"/>
    <hyperlink ref="AP5731" r:id="rId8" display="http://cdsbib.u-strasbg.fr/cgi-bin/cdsbib?1990RMxAA..21..381G" xr:uid="{00000000-0004-0000-0000-000007000000}"/>
    <hyperlink ref="AP5715" r:id="rId9" display="http://cdsbib.u-strasbg.fr/cgi-bin/cdsbib?1990RMxAA..21..381G" xr:uid="{00000000-0004-0000-0000-000008000000}"/>
    <hyperlink ref="AQ5944" r:id="rId10" display="http://cdsbib.u-strasbg.fr/cgi-bin/cdsbib?1990RMxAA..21..381G" xr:uid="{00000000-0004-0000-0000-000009000000}"/>
    <hyperlink ref="AQ5948" r:id="rId11" display="http://cdsbib.u-strasbg.fr/cgi-bin/cdsbib?1990RMxAA..21..381G" xr:uid="{00000000-0004-0000-0000-00000A000000}"/>
    <hyperlink ref="AQ96" r:id="rId12" display="http://cdsbib.u-strasbg.fr/cgi-bin/cdsbib?1990RMxAA..21..381G" xr:uid="{00000000-0004-0000-0000-00000B000000}"/>
    <hyperlink ref="I2836" r:id="rId13" display="http://vsolj.cetus-net.org/bulletin.html" xr:uid="{00000000-0004-0000-0000-00000C000000}"/>
    <hyperlink ref="H2836" r:id="rId14" display="http://vsolj.cetus-net.org/bulletin.html" xr:uid="{00000000-0004-0000-0000-00000D000000}"/>
    <hyperlink ref="AQ753" r:id="rId15" display="http://cdsbib.u-strasbg.fr/cgi-bin/cdsbib?1990RMxAA..21..381G" xr:uid="{00000000-0004-0000-0000-00000E000000}"/>
    <hyperlink ref="AQ752" r:id="rId16" display="http://cdsbib.u-strasbg.fr/cgi-bin/cdsbib?1990RMxAA..21..381G" xr:uid="{00000000-0004-0000-0000-00000F000000}"/>
    <hyperlink ref="AP4006" r:id="rId17" display="http://cdsbib.u-strasbg.fr/cgi-bin/cdsbib?1990RMxAA..21..381G" xr:uid="{00000000-0004-0000-0000-000010000000}"/>
    <hyperlink ref="AP4024" r:id="rId18" display="http://cdsbib.u-strasbg.fr/cgi-bin/cdsbib?1990RMxAA..21..381G" xr:uid="{00000000-0004-0000-0000-000011000000}"/>
    <hyperlink ref="AP4025" r:id="rId19" display="http://cdsbib.u-strasbg.fr/cgi-bin/cdsbib?1990RMxAA..21..381G" xr:uid="{00000000-0004-0000-0000-000012000000}"/>
    <hyperlink ref="AP402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topLeftCell="A52" workbookViewId="0">
      <selection activeCell="A29" sqref="A29:D90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2" t="s">
        <v>53</v>
      </c>
      <c r="I1" s="43" t="s">
        <v>54</v>
      </c>
      <c r="J1" s="44" t="s">
        <v>55</v>
      </c>
    </row>
    <row r="2" spans="1:16">
      <c r="I2" s="45" t="s">
        <v>56</v>
      </c>
      <c r="J2" s="46" t="s">
        <v>57</v>
      </c>
    </row>
    <row r="3" spans="1:16">
      <c r="A3" s="47" t="s">
        <v>58</v>
      </c>
      <c r="I3" s="45" t="s">
        <v>59</v>
      </c>
      <c r="J3" s="46" t="s">
        <v>60</v>
      </c>
    </row>
    <row r="4" spans="1:16">
      <c r="I4" s="45" t="s">
        <v>61</v>
      </c>
      <c r="J4" s="46" t="s">
        <v>60</v>
      </c>
    </row>
    <row r="5" spans="1:16" ht="13.5" thickBot="1">
      <c r="I5" s="48" t="s">
        <v>62</v>
      </c>
      <c r="J5" s="49" t="s">
        <v>63</v>
      </c>
    </row>
    <row r="10" spans="1:16" ht="13.5" thickBot="1"/>
    <row r="11" spans="1:16" ht="12.75" customHeight="1" thickBot="1">
      <c r="A11" s="9" t="str">
        <f t="shared" ref="A11:A42" si="0">P11</f>
        <v>BAVM 132 </v>
      </c>
      <c r="B11" s="16" t="str">
        <f t="shared" ref="B11:B42" si="1">IF(H11=INT(H11),"I","II")</f>
        <v>I</v>
      </c>
      <c r="C11" s="9">
        <f t="shared" ref="C11:C42" si="2">1*G11</f>
        <v>49933.5164</v>
      </c>
      <c r="D11" s="13" t="str">
        <f t="shared" ref="D11:D42" si="3">VLOOKUP(F11,I$1:J$5,2,FALSE)</f>
        <v>vis</v>
      </c>
      <c r="E11" s="50">
        <f>VLOOKUP(C11,Active!C$21:E$967,3,FALSE)</f>
        <v>-4025.9975246644258</v>
      </c>
      <c r="F11" s="16" t="s">
        <v>62</v>
      </c>
      <c r="G11" s="13" t="str">
        <f t="shared" ref="G11:G42" si="4">MID(I11,3,LEN(I11)-3)</f>
        <v>49933.5164</v>
      </c>
      <c r="H11" s="9">
        <f t="shared" ref="H11:H42" si="5">1*K11</f>
        <v>9805</v>
      </c>
      <c r="I11" s="51" t="s">
        <v>221</v>
      </c>
      <c r="J11" s="52" t="s">
        <v>222</v>
      </c>
      <c r="K11" s="51">
        <v>9805</v>
      </c>
      <c r="L11" s="51" t="s">
        <v>223</v>
      </c>
      <c r="M11" s="52" t="s">
        <v>224</v>
      </c>
      <c r="N11" s="52" t="s">
        <v>225</v>
      </c>
      <c r="O11" s="53" t="s">
        <v>226</v>
      </c>
      <c r="P11" s="54" t="s">
        <v>227</v>
      </c>
    </row>
    <row r="12" spans="1:16" ht="12.75" customHeight="1" thickBot="1">
      <c r="A12" s="9" t="str">
        <f t="shared" si="0"/>
        <v>BAVM 132 </v>
      </c>
      <c r="B12" s="16" t="str">
        <f t="shared" si="1"/>
        <v>I</v>
      </c>
      <c r="C12" s="9">
        <f t="shared" si="2"/>
        <v>49951.4493</v>
      </c>
      <c r="D12" s="13" t="str">
        <f t="shared" si="3"/>
        <v>vis</v>
      </c>
      <c r="E12" s="50">
        <f>VLOOKUP(C12,Active!C$21:E$967,3,FALSE)</f>
        <v>-4014.999024830634</v>
      </c>
      <c r="F12" s="16" t="s">
        <v>62</v>
      </c>
      <c r="G12" s="13" t="str">
        <f t="shared" si="4"/>
        <v>49951.4493</v>
      </c>
      <c r="H12" s="9">
        <f t="shared" si="5"/>
        <v>9816</v>
      </c>
      <c r="I12" s="51" t="s">
        <v>228</v>
      </c>
      <c r="J12" s="52" t="s">
        <v>229</v>
      </c>
      <c r="K12" s="51">
        <v>9816</v>
      </c>
      <c r="L12" s="51" t="s">
        <v>230</v>
      </c>
      <c r="M12" s="52" t="s">
        <v>224</v>
      </c>
      <c r="N12" s="52" t="s">
        <v>225</v>
      </c>
      <c r="O12" s="53" t="s">
        <v>231</v>
      </c>
      <c r="P12" s="54" t="s">
        <v>227</v>
      </c>
    </row>
    <row r="13" spans="1:16" ht="12.75" customHeight="1" thickBot="1">
      <c r="A13" s="9" t="str">
        <f t="shared" si="0"/>
        <v>BAVM 132 </v>
      </c>
      <c r="B13" s="16" t="str">
        <f t="shared" si="1"/>
        <v>I</v>
      </c>
      <c r="C13" s="9">
        <f t="shared" si="2"/>
        <v>50000.361599999997</v>
      </c>
      <c r="D13" s="13" t="str">
        <f t="shared" si="3"/>
        <v>vis</v>
      </c>
      <c r="E13" s="50">
        <f>VLOOKUP(C13,Active!C$21:E$967,3,FALSE)</f>
        <v>-3985.0004231867092</v>
      </c>
      <c r="F13" s="16" t="s">
        <v>62</v>
      </c>
      <c r="G13" s="13" t="str">
        <f t="shared" si="4"/>
        <v>50000.3616</v>
      </c>
      <c r="H13" s="9">
        <f t="shared" si="5"/>
        <v>9846</v>
      </c>
      <c r="I13" s="51" t="s">
        <v>232</v>
      </c>
      <c r="J13" s="52" t="s">
        <v>233</v>
      </c>
      <c r="K13" s="51">
        <v>9846</v>
      </c>
      <c r="L13" s="51" t="s">
        <v>234</v>
      </c>
      <c r="M13" s="52" t="s">
        <v>224</v>
      </c>
      <c r="N13" s="52" t="s">
        <v>225</v>
      </c>
      <c r="O13" s="53" t="s">
        <v>226</v>
      </c>
      <c r="P13" s="54" t="s">
        <v>227</v>
      </c>
    </row>
    <row r="14" spans="1:16" ht="12.75" customHeight="1" thickBot="1">
      <c r="A14" s="9" t="str">
        <f t="shared" si="0"/>
        <v>BAVM 132 </v>
      </c>
      <c r="B14" s="16" t="str">
        <f t="shared" si="1"/>
        <v>I</v>
      </c>
      <c r="C14" s="9">
        <f t="shared" si="2"/>
        <v>50005.253900000003</v>
      </c>
      <c r="D14" s="13" t="str">
        <f t="shared" si="3"/>
        <v>vis</v>
      </c>
      <c r="E14" s="50">
        <f>VLOOKUP(C14,Active!C$21:E$967,3,FALSE)</f>
        <v>-3981.9999067762606</v>
      </c>
      <c r="F14" s="16" t="s">
        <v>62</v>
      </c>
      <c r="G14" s="13" t="str">
        <f t="shared" si="4"/>
        <v>50005.2539</v>
      </c>
      <c r="H14" s="9">
        <f t="shared" si="5"/>
        <v>9849</v>
      </c>
      <c r="I14" s="51" t="s">
        <v>235</v>
      </c>
      <c r="J14" s="52" t="s">
        <v>236</v>
      </c>
      <c r="K14" s="51">
        <v>9849</v>
      </c>
      <c r="L14" s="51" t="s">
        <v>237</v>
      </c>
      <c r="M14" s="52" t="s">
        <v>224</v>
      </c>
      <c r="N14" s="52" t="s">
        <v>225</v>
      </c>
      <c r="O14" s="53" t="s">
        <v>226</v>
      </c>
      <c r="P14" s="54" t="s">
        <v>227</v>
      </c>
    </row>
    <row r="15" spans="1:16" ht="12.75" customHeight="1" thickBot="1">
      <c r="A15" s="9" t="str">
        <f t="shared" si="0"/>
        <v>BAVM 132 </v>
      </c>
      <c r="B15" s="16" t="str">
        <f t="shared" si="1"/>
        <v>II</v>
      </c>
      <c r="C15" s="9">
        <f t="shared" si="2"/>
        <v>50022.377399999998</v>
      </c>
      <c r="D15" s="13" t="str">
        <f t="shared" si="3"/>
        <v>vis</v>
      </c>
      <c r="E15" s="50">
        <f>VLOOKUP(C15,Active!C$21:E$967,3,FALSE)</f>
        <v>-3971.4978233483785</v>
      </c>
      <c r="F15" s="16" t="s">
        <v>62</v>
      </c>
      <c r="G15" s="13" t="str">
        <f t="shared" si="4"/>
        <v>50022.3774</v>
      </c>
      <c r="H15" s="9">
        <f t="shared" si="5"/>
        <v>9859.5</v>
      </c>
      <c r="I15" s="51" t="s">
        <v>238</v>
      </c>
      <c r="J15" s="52" t="s">
        <v>239</v>
      </c>
      <c r="K15" s="51">
        <v>9859.5</v>
      </c>
      <c r="L15" s="51" t="s">
        <v>240</v>
      </c>
      <c r="M15" s="52" t="s">
        <v>224</v>
      </c>
      <c r="N15" s="52" t="s">
        <v>225</v>
      </c>
      <c r="O15" s="53" t="s">
        <v>226</v>
      </c>
      <c r="P15" s="54" t="s">
        <v>227</v>
      </c>
    </row>
    <row r="16" spans="1:16" ht="12.75" customHeight="1" thickBot="1">
      <c r="A16" s="9" t="str">
        <f t="shared" si="0"/>
        <v>BAVM 132 </v>
      </c>
      <c r="B16" s="16" t="str">
        <f t="shared" si="1"/>
        <v>I</v>
      </c>
      <c r="C16" s="9">
        <f t="shared" si="2"/>
        <v>50750.386400000003</v>
      </c>
      <c r="D16" s="13" t="str">
        <f t="shared" si="3"/>
        <v>vis</v>
      </c>
      <c r="E16" s="50">
        <f>VLOOKUP(C16,Active!C$21:E$967,3,FALSE)</f>
        <v>-3524.9996626772622</v>
      </c>
      <c r="F16" s="16" t="s">
        <v>62</v>
      </c>
      <c r="G16" s="13" t="str">
        <f t="shared" si="4"/>
        <v>50750.3864</v>
      </c>
      <c r="H16" s="9">
        <f t="shared" si="5"/>
        <v>10306</v>
      </c>
      <c r="I16" s="51" t="s">
        <v>241</v>
      </c>
      <c r="J16" s="52" t="s">
        <v>242</v>
      </c>
      <c r="K16" s="51">
        <v>10306</v>
      </c>
      <c r="L16" s="51" t="s">
        <v>243</v>
      </c>
      <c r="M16" s="52" t="s">
        <v>224</v>
      </c>
      <c r="N16" s="52" t="s">
        <v>225</v>
      </c>
      <c r="O16" s="53" t="s">
        <v>226</v>
      </c>
      <c r="P16" s="54" t="s">
        <v>227</v>
      </c>
    </row>
    <row r="17" spans="1:16" ht="12.75" customHeight="1" thickBot="1">
      <c r="A17" s="9" t="str">
        <f t="shared" si="0"/>
        <v> JAAVSO 41;328 </v>
      </c>
      <c r="B17" s="16" t="str">
        <f t="shared" si="1"/>
        <v>I</v>
      </c>
      <c r="C17" s="9">
        <f t="shared" si="2"/>
        <v>54001.5746</v>
      </c>
      <c r="D17" s="13" t="str">
        <f t="shared" si="3"/>
        <v>vis</v>
      </c>
      <c r="E17" s="50">
        <f>VLOOKUP(C17,Active!C$21:E$967,3,FALSE)</f>
        <v>-1531.0002048468996</v>
      </c>
      <c r="F17" s="16" t="s">
        <v>62</v>
      </c>
      <c r="G17" s="13" t="str">
        <f t="shared" si="4"/>
        <v>54001.5746</v>
      </c>
      <c r="H17" s="9">
        <f t="shared" si="5"/>
        <v>12300</v>
      </c>
      <c r="I17" s="51" t="s">
        <v>269</v>
      </c>
      <c r="J17" s="52" t="s">
        <v>270</v>
      </c>
      <c r="K17" s="51">
        <v>12300</v>
      </c>
      <c r="L17" s="51" t="s">
        <v>271</v>
      </c>
      <c r="M17" s="52" t="s">
        <v>251</v>
      </c>
      <c r="N17" s="52" t="s">
        <v>272</v>
      </c>
      <c r="O17" s="53" t="s">
        <v>260</v>
      </c>
      <c r="P17" s="53" t="s">
        <v>273</v>
      </c>
    </row>
    <row r="18" spans="1:16" ht="12.75" customHeight="1" thickBot="1">
      <c r="A18" s="9" t="str">
        <f t="shared" si="0"/>
        <v>JAAVSO 36(2);186 </v>
      </c>
      <c r="B18" s="16" t="str">
        <f t="shared" si="1"/>
        <v>I</v>
      </c>
      <c r="C18" s="9">
        <f t="shared" si="2"/>
        <v>54596.702599999997</v>
      </c>
      <c r="D18" s="13" t="str">
        <f t="shared" si="3"/>
        <v>vis</v>
      </c>
      <c r="E18" s="50">
        <f>VLOOKUP(C18,Active!C$21:E$967,3,FALSE)</f>
        <v>-1165.9998307253206</v>
      </c>
      <c r="F18" s="16" t="s">
        <v>62</v>
      </c>
      <c r="G18" s="13" t="str">
        <f t="shared" si="4"/>
        <v>54596.7026</v>
      </c>
      <c r="H18" s="9">
        <f t="shared" si="5"/>
        <v>12665</v>
      </c>
      <c r="I18" s="51" t="s">
        <v>280</v>
      </c>
      <c r="J18" s="52" t="s">
        <v>281</v>
      </c>
      <c r="K18" s="51">
        <v>12665</v>
      </c>
      <c r="L18" s="51" t="s">
        <v>282</v>
      </c>
      <c r="M18" s="52" t="s">
        <v>251</v>
      </c>
      <c r="N18" s="52" t="s">
        <v>225</v>
      </c>
      <c r="O18" s="53" t="s">
        <v>203</v>
      </c>
      <c r="P18" s="54" t="s">
        <v>283</v>
      </c>
    </row>
    <row r="19" spans="1:16" ht="12.75" customHeight="1" thickBot="1">
      <c r="A19" s="9" t="str">
        <f t="shared" si="0"/>
        <v>JAAVSO 36(2);186 </v>
      </c>
      <c r="B19" s="16" t="str">
        <f t="shared" si="1"/>
        <v>I</v>
      </c>
      <c r="C19" s="9">
        <f t="shared" si="2"/>
        <v>54622.790200000003</v>
      </c>
      <c r="D19" s="13" t="str">
        <f t="shared" si="3"/>
        <v>CCD</v>
      </c>
      <c r="E19" s="50">
        <f>VLOOKUP(C19,Active!C$21:E$967,3,FALSE)</f>
        <v>-1149.9999386685924</v>
      </c>
      <c r="F19" s="16" t="str">
        <f>LEFT(M19,1)</f>
        <v>C</v>
      </c>
      <c r="G19" s="13" t="str">
        <f t="shared" si="4"/>
        <v>54622.7902</v>
      </c>
      <c r="H19" s="9">
        <f t="shared" si="5"/>
        <v>12681</v>
      </c>
      <c r="I19" s="51" t="s">
        <v>284</v>
      </c>
      <c r="J19" s="52" t="s">
        <v>285</v>
      </c>
      <c r="K19" s="51">
        <v>12681</v>
      </c>
      <c r="L19" s="51" t="s">
        <v>286</v>
      </c>
      <c r="M19" s="52" t="s">
        <v>251</v>
      </c>
      <c r="N19" s="52" t="s">
        <v>225</v>
      </c>
      <c r="O19" s="53" t="s">
        <v>287</v>
      </c>
      <c r="P19" s="54" t="s">
        <v>283</v>
      </c>
    </row>
    <row r="20" spans="1:16" ht="12.75" customHeight="1" thickBot="1">
      <c r="A20" s="9" t="str">
        <f t="shared" si="0"/>
        <v>JAAVSO 36(2);186 </v>
      </c>
      <c r="B20" s="16" t="str">
        <f t="shared" si="1"/>
        <v>I</v>
      </c>
      <c r="C20" s="9">
        <f t="shared" si="2"/>
        <v>54702.683599999997</v>
      </c>
      <c r="D20" s="13" t="str">
        <f t="shared" si="3"/>
        <v>CCD</v>
      </c>
      <c r="E20" s="50">
        <f>VLOOKUP(C20,Active!C$21:E$967,3,FALSE)</f>
        <v>-1101.0001925806203</v>
      </c>
      <c r="F20" s="16" t="str">
        <f>LEFT(M20,1)</f>
        <v>C</v>
      </c>
      <c r="G20" s="13" t="str">
        <f t="shared" si="4"/>
        <v>54702.6836</v>
      </c>
      <c r="H20" s="9">
        <f t="shared" si="5"/>
        <v>12730</v>
      </c>
      <c r="I20" s="51" t="s">
        <v>288</v>
      </c>
      <c r="J20" s="52" t="s">
        <v>289</v>
      </c>
      <c r="K20" s="51">
        <v>12730</v>
      </c>
      <c r="L20" s="51" t="s">
        <v>290</v>
      </c>
      <c r="M20" s="52" t="s">
        <v>251</v>
      </c>
      <c r="N20" s="52" t="s">
        <v>225</v>
      </c>
      <c r="O20" s="53" t="s">
        <v>203</v>
      </c>
      <c r="P20" s="54" t="s">
        <v>283</v>
      </c>
    </row>
    <row r="21" spans="1:16" ht="12.75" customHeight="1" thickBot="1">
      <c r="A21" s="9" t="str">
        <f t="shared" si="0"/>
        <v>JAAVSO 37(1),44 </v>
      </c>
      <c r="B21" s="16" t="str">
        <f t="shared" si="1"/>
        <v>I</v>
      </c>
      <c r="C21" s="9">
        <f t="shared" si="2"/>
        <v>54751.597900000001</v>
      </c>
      <c r="D21" s="13" t="str">
        <f t="shared" si="3"/>
        <v>CCD</v>
      </c>
      <c r="E21" s="50">
        <f>VLOOKUP(C21,Active!C$21:E$967,3,FALSE)</f>
        <v>-1071.0003643085565</v>
      </c>
      <c r="F21" s="16" t="str">
        <f>LEFT(M21,1)</f>
        <v>C</v>
      </c>
      <c r="G21" s="13" t="str">
        <f t="shared" si="4"/>
        <v>54751.5979</v>
      </c>
      <c r="H21" s="9">
        <f t="shared" si="5"/>
        <v>12760</v>
      </c>
      <c r="I21" s="51" t="s">
        <v>291</v>
      </c>
      <c r="J21" s="52" t="s">
        <v>292</v>
      </c>
      <c r="K21" s="51">
        <v>12760</v>
      </c>
      <c r="L21" s="51" t="s">
        <v>293</v>
      </c>
      <c r="M21" s="52" t="s">
        <v>251</v>
      </c>
      <c r="N21" s="52" t="s">
        <v>252</v>
      </c>
      <c r="O21" s="53" t="s">
        <v>203</v>
      </c>
      <c r="P21" s="54" t="s">
        <v>294</v>
      </c>
    </row>
    <row r="22" spans="1:16" ht="12.75" customHeight="1" thickBot="1">
      <c r="A22" s="9" t="str">
        <f t="shared" si="0"/>
        <v> JAAVSO 38;120 </v>
      </c>
      <c r="B22" s="16" t="str">
        <f t="shared" si="1"/>
        <v>I</v>
      </c>
      <c r="C22" s="9">
        <f t="shared" si="2"/>
        <v>55157.59</v>
      </c>
      <c r="D22" s="13" t="str">
        <f t="shared" si="3"/>
        <v>CCD</v>
      </c>
      <c r="E22" s="50">
        <f>VLOOKUP(C22,Active!C$21:E$967,3,FALSE)</f>
        <v>-821.99969824948232</v>
      </c>
      <c r="F22" s="16" t="str">
        <f>LEFT(M22,1)</f>
        <v>C</v>
      </c>
      <c r="G22" s="13" t="str">
        <f t="shared" si="4"/>
        <v>55157.5900</v>
      </c>
      <c r="H22" s="9">
        <f t="shared" si="5"/>
        <v>13009</v>
      </c>
      <c r="I22" s="51" t="s">
        <v>295</v>
      </c>
      <c r="J22" s="52" t="s">
        <v>296</v>
      </c>
      <c r="K22" s="51">
        <v>13009</v>
      </c>
      <c r="L22" s="51" t="s">
        <v>297</v>
      </c>
      <c r="M22" s="52" t="s">
        <v>251</v>
      </c>
      <c r="N22" s="52" t="s">
        <v>252</v>
      </c>
      <c r="O22" s="53" t="s">
        <v>203</v>
      </c>
      <c r="P22" s="53" t="s">
        <v>298</v>
      </c>
    </row>
    <row r="23" spans="1:16" ht="12.75" customHeight="1" thickBot="1">
      <c r="A23" s="9" t="str">
        <f t="shared" si="0"/>
        <v> JAAVSO 39;94 </v>
      </c>
      <c r="B23" s="16" t="str">
        <f t="shared" si="1"/>
        <v>I</v>
      </c>
      <c r="C23" s="9">
        <f t="shared" si="2"/>
        <v>55346.725599999998</v>
      </c>
      <c r="D23" s="13" t="str">
        <f t="shared" si="3"/>
        <v>CCD</v>
      </c>
      <c r="E23" s="50">
        <f>VLOOKUP(C23,Active!C$21:E$967,3,FALSE)</f>
        <v>-706.00017418119751</v>
      </c>
      <c r="F23" s="16" t="str">
        <f>LEFT(M23,1)</f>
        <v>C</v>
      </c>
      <c r="G23" s="13" t="str">
        <f t="shared" si="4"/>
        <v>55346.7256</v>
      </c>
      <c r="H23" s="9">
        <f t="shared" si="5"/>
        <v>13125</v>
      </c>
      <c r="I23" s="51" t="s">
        <v>299</v>
      </c>
      <c r="J23" s="52" t="s">
        <v>300</v>
      </c>
      <c r="K23" s="51">
        <v>13125</v>
      </c>
      <c r="L23" s="51" t="s">
        <v>301</v>
      </c>
      <c r="M23" s="52" t="s">
        <v>251</v>
      </c>
      <c r="N23" s="52" t="s">
        <v>252</v>
      </c>
      <c r="O23" s="53" t="s">
        <v>203</v>
      </c>
      <c r="P23" s="53" t="s">
        <v>302</v>
      </c>
    </row>
    <row r="24" spans="1:16" ht="12.75" customHeight="1" thickBot="1">
      <c r="A24" s="9" t="str">
        <f t="shared" si="0"/>
        <v>BAVM 220 </v>
      </c>
      <c r="B24" s="16" t="str">
        <f t="shared" si="1"/>
        <v>I</v>
      </c>
      <c r="C24" s="9">
        <f t="shared" si="2"/>
        <v>55669.563499999997</v>
      </c>
      <c r="D24" s="13" t="str">
        <f t="shared" si="3"/>
        <v>vis</v>
      </c>
      <c r="E24" s="50">
        <f>VLOOKUP(C24,Active!C$21:E$967,3,FALSE)</f>
        <v>-507.99914872007815</v>
      </c>
      <c r="F24" s="16" t="s">
        <v>62</v>
      </c>
      <c r="G24" s="13" t="str">
        <f t="shared" si="4"/>
        <v>55669.5635</v>
      </c>
      <c r="H24" s="9">
        <f t="shared" si="5"/>
        <v>13323</v>
      </c>
      <c r="I24" s="51" t="s">
        <v>303</v>
      </c>
      <c r="J24" s="52" t="s">
        <v>304</v>
      </c>
      <c r="K24" s="51">
        <v>13323</v>
      </c>
      <c r="L24" s="51" t="s">
        <v>305</v>
      </c>
      <c r="M24" s="52" t="s">
        <v>251</v>
      </c>
      <c r="N24" s="52" t="s">
        <v>225</v>
      </c>
      <c r="O24" s="53" t="s">
        <v>306</v>
      </c>
      <c r="P24" s="54" t="s">
        <v>307</v>
      </c>
    </row>
    <row r="25" spans="1:16" ht="12.75" customHeight="1" thickBot="1">
      <c r="A25" s="9" t="str">
        <f t="shared" si="0"/>
        <v> JAAVSO 40;975 </v>
      </c>
      <c r="B25" s="16" t="str">
        <f t="shared" si="1"/>
        <v>I</v>
      </c>
      <c r="C25" s="9">
        <f t="shared" si="2"/>
        <v>55747.825599999996</v>
      </c>
      <c r="D25" s="13" t="str">
        <f t="shared" si="3"/>
        <v>vis</v>
      </c>
      <c r="E25" s="50">
        <f>VLOOKUP(C25,Active!C$21:E$967,3,FALSE)</f>
        <v>-459.99990186975259</v>
      </c>
      <c r="F25" s="16" t="s">
        <v>62</v>
      </c>
      <c r="G25" s="13" t="str">
        <f t="shared" si="4"/>
        <v>55747.8256</v>
      </c>
      <c r="H25" s="9">
        <f t="shared" si="5"/>
        <v>13371</v>
      </c>
      <c r="I25" s="51" t="s">
        <v>308</v>
      </c>
      <c r="J25" s="52" t="s">
        <v>309</v>
      </c>
      <c r="K25" s="51">
        <v>13371</v>
      </c>
      <c r="L25" s="51" t="s">
        <v>310</v>
      </c>
      <c r="M25" s="52" t="s">
        <v>251</v>
      </c>
      <c r="N25" s="52" t="s">
        <v>62</v>
      </c>
      <c r="O25" s="53" t="s">
        <v>203</v>
      </c>
      <c r="P25" s="53" t="s">
        <v>311</v>
      </c>
    </row>
    <row r="26" spans="1:16" ht="12.75" customHeight="1" thickBot="1">
      <c r="A26" s="9" t="str">
        <f t="shared" si="0"/>
        <v>BAVM 220 </v>
      </c>
      <c r="B26" s="16" t="str">
        <f t="shared" si="1"/>
        <v>I</v>
      </c>
      <c r="C26" s="9">
        <f t="shared" si="2"/>
        <v>55775.544699999999</v>
      </c>
      <c r="D26" s="13" t="str">
        <f t="shared" si="3"/>
        <v>vis</v>
      </c>
      <c r="E26" s="50">
        <f>VLOOKUP(C26,Active!C$21:E$967,3,FALSE)</f>
        <v>-442.99938791256312</v>
      </c>
      <c r="F26" s="16" t="s">
        <v>62</v>
      </c>
      <c r="G26" s="13" t="str">
        <f t="shared" si="4"/>
        <v>55775.5447</v>
      </c>
      <c r="H26" s="9">
        <f t="shared" si="5"/>
        <v>13388</v>
      </c>
      <c r="I26" s="51" t="s">
        <v>312</v>
      </c>
      <c r="J26" s="52" t="s">
        <v>313</v>
      </c>
      <c r="K26" s="51">
        <v>13388</v>
      </c>
      <c r="L26" s="51" t="s">
        <v>305</v>
      </c>
      <c r="M26" s="52" t="s">
        <v>251</v>
      </c>
      <c r="N26" s="52" t="s">
        <v>314</v>
      </c>
      <c r="O26" s="53" t="s">
        <v>315</v>
      </c>
      <c r="P26" s="54" t="s">
        <v>307</v>
      </c>
    </row>
    <row r="27" spans="1:16" ht="12.75" customHeight="1" thickBot="1">
      <c r="A27" s="9" t="str">
        <f t="shared" si="0"/>
        <v>IBVS 6042 </v>
      </c>
      <c r="B27" s="16" t="str">
        <f t="shared" si="1"/>
        <v>I</v>
      </c>
      <c r="C27" s="9">
        <f t="shared" si="2"/>
        <v>56220.669199999997</v>
      </c>
      <c r="D27" s="13" t="str">
        <f t="shared" si="3"/>
        <v>vis</v>
      </c>
      <c r="E27" s="50">
        <f>VLOOKUP(C27,Active!C$21:E$967,3,FALSE)</f>
        <v>-169.99827045433406</v>
      </c>
      <c r="F27" s="16" t="s">
        <v>62</v>
      </c>
      <c r="G27" s="13" t="str">
        <f t="shared" si="4"/>
        <v>56220.6692</v>
      </c>
      <c r="H27" s="9">
        <f t="shared" si="5"/>
        <v>13661</v>
      </c>
      <c r="I27" s="51" t="s">
        <v>327</v>
      </c>
      <c r="J27" s="52" t="s">
        <v>328</v>
      </c>
      <c r="K27" s="51" t="s">
        <v>329</v>
      </c>
      <c r="L27" s="51" t="s">
        <v>330</v>
      </c>
      <c r="M27" s="52" t="s">
        <v>251</v>
      </c>
      <c r="N27" s="52" t="s">
        <v>62</v>
      </c>
      <c r="O27" s="53" t="s">
        <v>331</v>
      </c>
      <c r="P27" s="54" t="s">
        <v>332</v>
      </c>
    </row>
    <row r="28" spans="1:16" ht="12.75" customHeight="1" thickBot="1">
      <c r="A28" s="9" t="str">
        <f t="shared" si="0"/>
        <v> JAAVSO 41;328 </v>
      </c>
      <c r="B28" s="16" t="str">
        <f t="shared" si="1"/>
        <v>I</v>
      </c>
      <c r="C28" s="9">
        <f t="shared" si="2"/>
        <v>56497.849399999999</v>
      </c>
      <c r="D28" s="13" t="str">
        <f t="shared" si="3"/>
        <v>vis</v>
      </c>
      <c r="E28" s="50">
        <f>VLOOKUP(C28,Active!C$21:E$967,3,FALSE)</f>
        <v>2.4532562510264278E-4</v>
      </c>
      <c r="F28" s="16" t="s">
        <v>62</v>
      </c>
      <c r="G28" s="13" t="str">
        <f t="shared" si="4"/>
        <v>56497.8494</v>
      </c>
      <c r="H28" s="9">
        <f t="shared" si="5"/>
        <v>13831</v>
      </c>
      <c r="I28" s="51" t="s">
        <v>333</v>
      </c>
      <c r="J28" s="52" t="s">
        <v>334</v>
      </c>
      <c r="K28" s="51" t="s">
        <v>335</v>
      </c>
      <c r="L28" s="51" t="s">
        <v>336</v>
      </c>
      <c r="M28" s="52" t="s">
        <v>251</v>
      </c>
      <c r="N28" s="52" t="s">
        <v>62</v>
      </c>
      <c r="O28" s="53" t="s">
        <v>203</v>
      </c>
      <c r="P28" s="53" t="s">
        <v>273</v>
      </c>
    </row>
    <row r="29" spans="1:16" ht="12.75" customHeight="1" thickBot="1">
      <c r="A29" s="9" t="str">
        <f t="shared" si="0"/>
        <v> AN 256.283 </v>
      </c>
      <c r="B29" s="16" t="str">
        <f t="shared" si="1"/>
        <v>II</v>
      </c>
      <c r="C29" s="9">
        <f t="shared" si="2"/>
        <v>26332.246999999999</v>
      </c>
      <c r="D29" s="13" t="str">
        <f t="shared" si="3"/>
        <v>vis</v>
      </c>
      <c r="E29" s="50">
        <f>VLOOKUP(C29,Active!C$21:E$967,3,FALSE)</f>
        <v>-18500.988048962088</v>
      </c>
      <c r="F29" s="16" t="s">
        <v>62</v>
      </c>
      <c r="G29" s="13" t="str">
        <f t="shared" si="4"/>
        <v>26332.247</v>
      </c>
      <c r="H29" s="9">
        <f t="shared" si="5"/>
        <v>-4670.5</v>
      </c>
      <c r="I29" s="51" t="s">
        <v>66</v>
      </c>
      <c r="J29" s="52" t="s">
        <v>67</v>
      </c>
      <c r="K29" s="51">
        <v>-4670.5</v>
      </c>
      <c r="L29" s="51" t="s">
        <v>68</v>
      </c>
      <c r="M29" s="52" t="s">
        <v>69</v>
      </c>
      <c r="N29" s="52"/>
      <c r="O29" s="53" t="s">
        <v>70</v>
      </c>
      <c r="P29" s="53" t="s">
        <v>71</v>
      </c>
    </row>
    <row r="30" spans="1:16" ht="12.75" customHeight="1" thickBot="1">
      <c r="A30" s="9" t="str">
        <f t="shared" si="0"/>
        <v> AN 256.283 </v>
      </c>
      <c r="B30" s="16" t="str">
        <f t="shared" si="1"/>
        <v>II</v>
      </c>
      <c r="C30" s="9">
        <f t="shared" si="2"/>
        <v>26350.222000000002</v>
      </c>
      <c r="D30" s="13" t="str">
        <f t="shared" si="3"/>
        <v>vis</v>
      </c>
      <c r="E30" s="50">
        <f>VLOOKUP(C30,Active!C$21:E$967,3,FALSE)</f>
        <v>-18489.963728606072</v>
      </c>
      <c r="F30" s="16" t="s">
        <v>62</v>
      </c>
      <c r="G30" s="13" t="str">
        <f t="shared" si="4"/>
        <v>26350.222</v>
      </c>
      <c r="H30" s="9">
        <f t="shared" si="5"/>
        <v>-4659.5</v>
      </c>
      <c r="I30" s="51" t="s">
        <v>72</v>
      </c>
      <c r="J30" s="52" t="s">
        <v>73</v>
      </c>
      <c r="K30" s="51">
        <v>-4659.5</v>
      </c>
      <c r="L30" s="51" t="s">
        <v>74</v>
      </c>
      <c r="M30" s="52" t="s">
        <v>69</v>
      </c>
      <c r="N30" s="52"/>
      <c r="O30" s="53" t="s">
        <v>70</v>
      </c>
      <c r="P30" s="53" t="s">
        <v>71</v>
      </c>
    </row>
    <row r="31" spans="1:16" ht="12.75" customHeight="1" thickBot="1">
      <c r="A31" s="9" t="str">
        <f t="shared" si="0"/>
        <v> AN 256.283 </v>
      </c>
      <c r="B31" s="16" t="str">
        <f t="shared" si="1"/>
        <v>II</v>
      </c>
      <c r="C31" s="9">
        <f t="shared" si="2"/>
        <v>26627.427</v>
      </c>
      <c r="D31" s="13" t="str">
        <f t="shared" si="3"/>
        <v>vis</v>
      </c>
      <c r="E31" s="50">
        <f>VLOOKUP(C31,Active!C$21:E$967,3,FALSE)</f>
        <v>-18319.950002637252</v>
      </c>
      <c r="F31" s="16" t="s">
        <v>62</v>
      </c>
      <c r="G31" s="13" t="str">
        <f t="shared" si="4"/>
        <v>26627.427</v>
      </c>
      <c r="H31" s="9">
        <f t="shared" si="5"/>
        <v>-4489.5</v>
      </c>
      <c r="I31" s="51" t="s">
        <v>75</v>
      </c>
      <c r="J31" s="52" t="s">
        <v>76</v>
      </c>
      <c r="K31" s="51">
        <v>-4489.5</v>
      </c>
      <c r="L31" s="51" t="s">
        <v>77</v>
      </c>
      <c r="M31" s="52" t="s">
        <v>69</v>
      </c>
      <c r="N31" s="52"/>
      <c r="O31" s="53" t="s">
        <v>70</v>
      </c>
      <c r="P31" s="53" t="s">
        <v>71</v>
      </c>
    </row>
    <row r="32" spans="1:16" ht="12.75" customHeight="1" thickBot="1">
      <c r="A32" s="9" t="str">
        <f t="shared" si="0"/>
        <v> PTAO 34.212 </v>
      </c>
      <c r="B32" s="16" t="str">
        <f t="shared" si="1"/>
        <v>II</v>
      </c>
      <c r="C32" s="9">
        <f t="shared" si="2"/>
        <v>28239.907999999999</v>
      </c>
      <c r="D32" s="13" t="str">
        <f t="shared" si="3"/>
        <v>vis</v>
      </c>
      <c r="E32" s="50">
        <f>VLOOKUP(C32,Active!C$21:E$967,3,FALSE)</f>
        <v>-17330.992722415282</v>
      </c>
      <c r="F32" s="16" t="s">
        <v>62</v>
      </c>
      <c r="G32" s="13" t="str">
        <f t="shared" si="4"/>
        <v>28239.908</v>
      </c>
      <c r="H32" s="9">
        <f t="shared" si="5"/>
        <v>-3500.5</v>
      </c>
      <c r="I32" s="51" t="s">
        <v>78</v>
      </c>
      <c r="J32" s="52" t="s">
        <v>79</v>
      </c>
      <c r="K32" s="51">
        <v>-3500.5</v>
      </c>
      <c r="L32" s="51" t="s">
        <v>80</v>
      </c>
      <c r="M32" s="52" t="s">
        <v>65</v>
      </c>
      <c r="N32" s="52"/>
      <c r="O32" s="53" t="s">
        <v>81</v>
      </c>
      <c r="P32" s="53" t="s">
        <v>82</v>
      </c>
    </row>
    <row r="33" spans="1:16" ht="12.75" customHeight="1" thickBot="1">
      <c r="A33" s="9" t="str">
        <f t="shared" si="0"/>
        <v> PTAO 34.212 </v>
      </c>
      <c r="B33" s="16" t="str">
        <f t="shared" si="1"/>
        <v>I</v>
      </c>
      <c r="C33" s="9">
        <f t="shared" si="2"/>
        <v>28304.345000000001</v>
      </c>
      <c r="D33" s="13" t="str">
        <f t="shared" si="3"/>
        <v>vis</v>
      </c>
      <c r="E33" s="50">
        <f>VLOOKUP(C33,Active!C$21:E$967,3,FALSE)</f>
        <v>-17291.472603873935</v>
      </c>
      <c r="F33" s="16" t="s">
        <v>62</v>
      </c>
      <c r="G33" s="13" t="str">
        <f t="shared" si="4"/>
        <v>28304.345</v>
      </c>
      <c r="H33" s="9">
        <f t="shared" si="5"/>
        <v>-3461</v>
      </c>
      <c r="I33" s="51" t="s">
        <v>83</v>
      </c>
      <c r="J33" s="52" t="s">
        <v>84</v>
      </c>
      <c r="K33" s="51">
        <v>-3461</v>
      </c>
      <c r="L33" s="51" t="s">
        <v>85</v>
      </c>
      <c r="M33" s="52" t="s">
        <v>65</v>
      </c>
      <c r="N33" s="52"/>
      <c r="O33" s="53" t="s">
        <v>81</v>
      </c>
      <c r="P33" s="53" t="s">
        <v>82</v>
      </c>
    </row>
    <row r="34" spans="1:16" ht="12.75" customHeight="1" thickBot="1">
      <c r="A34" s="9" t="str">
        <f t="shared" si="0"/>
        <v> PZ 9.208 </v>
      </c>
      <c r="B34" s="16" t="str">
        <f t="shared" si="1"/>
        <v>I</v>
      </c>
      <c r="C34" s="9">
        <f t="shared" si="2"/>
        <v>33364.550999999999</v>
      </c>
      <c r="D34" s="13" t="str">
        <f t="shared" si="3"/>
        <v>vis</v>
      </c>
      <c r="E34" s="50">
        <f>VLOOKUP(C34,Active!C$21:E$967,3,FALSE)</f>
        <v>-14187.977081679941</v>
      </c>
      <c r="F34" s="16" t="s">
        <v>62</v>
      </c>
      <c r="G34" s="13" t="str">
        <f t="shared" si="4"/>
        <v>33364.551</v>
      </c>
      <c r="H34" s="9">
        <f t="shared" si="5"/>
        <v>-357</v>
      </c>
      <c r="I34" s="51" t="s">
        <v>86</v>
      </c>
      <c r="J34" s="52" t="s">
        <v>87</v>
      </c>
      <c r="K34" s="51">
        <v>-357</v>
      </c>
      <c r="L34" s="51" t="s">
        <v>88</v>
      </c>
      <c r="M34" s="52" t="s">
        <v>69</v>
      </c>
      <c r="N34" s="52"/>
      <c r="O34" s="53" t="s">
        <v>81</v>
      </c>
      <c r="P34" s="53" t="s">
        <v>89</v>
      </c>
    </row>
    <row r="35" spans="1:16" ht="12.75" customHeight="1" thickBot="1">
      <c r="A35" s="9" t="str">
        <f t="shared" si="0"/>
        <v> PZ 9.208 </v>
      </c>
      <c r="B35" s="16" t="str">
        <f t="shared" si="1"/>
        <v>I</v>
      </c>
      <c r="C35" s="9">
        <f t="shared" si="2"/>
        <v>33589.485000000001</v>
      </c>
      <c r="D35" s="13" t="str">
        <f t="shared" si="3"/>
        <v>vis</v>
      </c>
      <c r="E35" s="50">
        <f>VLOOKUP(C35,Active!C$21:E$967,3,FALSE)</f>
        <v>-14050.021895312195</v>
      </c>
      <c r="F35" s="16" t="s">
        <v>62</v>
      </c>
      <c r="G35" s="13" t="str">
        <f t="shared" si="4"/>
        <v>33589.485</v>
      </c>
      <c r="H35" s="9">
        <f t="shared" si="5"/>
        <v>-219</v>
      </c>
      <c r="I35" s="51" t="s">
        <v>90</v>
      </c>
      <c r="J35" s="52" t="s">
        <v>91</v>
      </c>
      <c r="K35" s="51">
        <v>-219</v>
      </c>
      <c r="L35" s="51" t="s">
        <v>92</v>
      </c>
      <c r="M35" s="52" t="s">
        <v>69</v>
      </c>
      <c r="N35" s="52"/>
      <c r="O35" s="53" t="s">
        <v>81</v>
      </c>
      <c r="P35" s="53" t="s">
        <v>89</v>
      </c>
    </row>
    <row r="36" spans="1:16" ht="12.75" customHeight="1" thickBot="1">
      <c r="A36" s="9" t="str">
        <f t="shared" si="0"/>
        <v> PZ 9.208 </v>
      </c>
      <c r="B36" s="16" t="str">
        <f t="shared" si="1"/>
        <v>I</v>
      </c>
      <c r="C36" s="9">
        <f t="shared" si="2"/>
        <v>33718.266000000003</v>
      </c>
      <c r="D36" s="13" t="str">
        <f t="shared" si="3"/>
        <v>vis</v>
      </c>
      <c r="E36" s="50">
        <f>VLOOKUP(C36,Active!C$21:E$967,3,FALSE)</f>
        <v>-13971.038696437747</v>
      </c>
      <c r="F36" s="16" t="s">
        <v>62</v>
      </c>
      <c r="G36" s="13" t="str">
        <f t="shared" si="4"/>
        <v>33718.266</v>
      </c>
      <c r="H36" s="9">
        <f t="shared" si="5"/>
        <v>-140</v>
      </c>
      <c r="I36" s="51" t="s">
        <v>93</v>
      </c>
      <c r="J36" s="52" t="s">
        <v>94</v>
      </c>
      <c r="K36" s="51">
        <v>-140</v>
      </c>
      <c r="L36" s="51" t="s">
        <v>95</v>
      </c>
      <c r="M36" s="52" t="s">
        <v>69</v>
      </c>
      <c r="N36" s="52"/>
      <c r="O36" s="53" t="s">
        <v>81</v>
      </c>
      <c r="P36" s="53" t="s">
        <v>89</v>
      </c>
    </row>
    <row r="37" spans="1:16" ht="12.75" customHeight="1" thickBot="1">
      <c r="A37" s="9" t="str">
        <f t="shared" si="0"/>
        <v> PTAO 34.212 </v>
      </c>
      <c r="B37" s="16" t="str">
        <f t="shared" si="1"/>
        <v>II</v>
      </c>
      <c r="C37" s="9">
        <f t="shared" si="2"/>
        <v>33844.697999999997</v>
      </c>
      <c r="D37" s="13" t="str">
        <f t="shared" si="3"/>
        <v>vis</v>
      </c>
      <c r="E37" s="50">
        <f>VLOOKUP(C37,Active!C$21:E$967,3,FALSE)</f>
        <v>-13893.49617230691</v>
      </c>
      <c r="F37" s="16" t="s">
        <v>62</v>
      </c>
      <c r="G37" s="13" t="str">
        <f t="shared" si="4"/>
        <v>33844.698</v>
      </c>
      <c r="H37" s="9">
        <f t="shared" si="5"/>
        <v>-62.5</v>
      </c>
      <c r="I37" s="51" t="s">
        <v>96</v>
      </c>
      <c r="J37" s="52" t="s">
        <v>97</v>
      </c>
      <c r="K37" s="51">
        <v>-62.5</v>
      </c>
      <c r="L37" s="51" t="s">
        <v>98</v>
      </c>
      <c r="M37" s="52" t="s">
        <v>65</v>
      </c>
      <c r="N37" s="52"/>
      <c r="O37" s="53" t="s">
        <v>81</v>
      </c>
      <c r="P37" s="53" t="s">
        <v>82</v>
      </c>
    </row>
    <row r="38" spans="1:16" ht="12.75" customHeight="1" thickBot="1">
      <c r="A38" s="9" t="str">
        <f t="shared" si="0"/>
        <v> PZ 9.208 </v>
      </c>
      <c r="B38" s="16" t="str">
        <f t="shared" si="1"/>
        <v>I</v>
      </c>
      <c r="C38" s="9">
        <f t="shared" si="2"/>
        <v>33946.529000000002</v>
      </c>
      <c r="D38" s="13" t="str">
        <f t="shared" si="3"/>
        <v>vis</v>
      </c>
      <c r="E38" s="50">
        <f>VLOOKUP(C38,Active!C$21:E$967,3,FALSE)</f>
        <v>-13831.041787540646</v>
      </c>
      <c r="F38" s="16" t="s">
        <v>62</v>
      </c>
      <c r="G38" s="13" t="str">
        <f t="shared" si="4"/>
        <v>33946.529</v>
      </c>
      <c r="H38" s="9">
        <f t="shared" si="5"/>
        <v>0</v>
      </c>
      <c r="I38" s="51" t="s">
        <v>99</v>
      </c>
      <c r="J38" s="52" t="s">
        <v>100</v>
      </c>
      <c r="K38" s="51">
        <v>0</v>
      </c>
      <c r="L38" s="51" t="s">
        <v>101</v>
      </c>
      <c r="M38" s="52" t="s">
        <v>69</v>
      </c>
      <c r="N38" s="52"/>
      <c r="O38" s="53" t="s">
        <v>81</v>
      </c>
      <c r="P38" s="53" t="s">
        <v>89</v>
      </c>
    </row>
    <row r="39" spans="1:16" ht="12.75" customHeight="1" thickBot="1">
      <c r="A39" s="9" t="str">
        <f t="shared" si="0"/>
        <v> PZ 9.208 </v>
      </c>
      <c r="B39" s="16" t="str">
        <f t="shared" si="1"/>
        <v>I</v>
      </c>
      <c r="C39" s="9">
        <f t="shared" si="2"/>
        <v>33946.629999999997</v>
      </c>
      <c r="D39" s="13" t="str">
        <f t="shared" si="3"/>
        <v>vis</v>
      </c>
      <c r="E39" s="50">
        <f>VLOOKUP(C39,Active!C$21:E$967,3,FALSE)</f>
        <v>-13830.979842819874</v>
      </c>
      <c r="F39" s="16" t="s">
        <v>62</v>
      </c>
      <c r="G39" s="13" t="str">
        <f t="shared" si="4"/>
        <v>33946.630</v>
      </c>
      <c r="H39" s="9">
        <f t="shared" si="5"/>
        <v>0</v>
      </c>
      <c r="I39" s="51" t="s">
        <v>102</v>
      </c>
      <c r="J39" s="52" t="s">
        <v>103</v>
      </c>
      <c r="K39" s="51">
        <v>0</v>
      </c>
      <c r="L39" s="51" t="s">
        <v>104</v>
      </c>
      <c r="M39" s="52" t="s">
        <v>69</v>
      </c>
      <c r="N39" s="52"/>
      <c r="O39" s="53" t="s">
        <v>81</v>
      </c>
      <c r="P39" s="53" t="s">
        <v>89</v>
      </c>
    </row>
    <row r="40" spans="1:16" ht="12.75" customHeight="1" thickBot="1">
      <c r="A40" s="9" t="str">
        <f t="shared" si="0"/>
        <v> PZ 9.208 </v>
      </c>
      <c r="B40" s="16" t="str">
        <f t="shared" si="1"/>
        <v>I</v>
      </c>
      <c r="C40" s="9">
        <f t="shared" si="2"/>
        <v>34036.245000000003</v>
      </c>
      <c r="D40" s="13" t="str">
        <f t="shared" si="3"/>
        <v>vis</v>
      </c>
      <c r="E40" s="50">
        <f>VLOOKUP(C40,Active!C$21:E$967,3,FALSE)</f>
        <v>-13776.017702697231</v>
      </c>
      <c r="F40" s="16" t="s">
        <v>62</v>
      </c>
      <c r="G40" s="13" t="str">
        <f t="shared" si="4"/>
        <v>34036.245</v>
      </c>
      <c r="H40" s="9">
        <f t="shared" si="5"/>
        <v>55</v>
      </c>
      <c r="I40" s="51" t="s">
        <v>105</v>
      </c>
      <c r="J40" s="52" t="s">
        <v>106</v>
      </c>
      <c r="K40" s="51">
        <v>55</v>
      </c>
      <c r="L40" s="51" t="s">
        <v>107</v>
      </c>
      <c r="M40" s="52" t="s">
        <v>69</v>
      </c>
      <c r="N40" s="52"/>
      <c r="O40" s="53" t="s">
        <v>81</v>
      </c>
      <c r="P40" s="53" t="s">
        <v>89</v>
      </c>
    </row>
    <row r="41" spans="1:16" ht="12.75" customHeight="1" thickBot="1">
      <c r="A41" s="9" t="str">
        <f t="shared" si="0"/>
        <v> PZ 9.208 </v>
      </c>
      <c r="B41" s="16" t="str">
        <f t="shared" si="1"/>
        <v>I</v>
      </c>
      <c r="C41" s="9">
        <f t="shared" si="2"/>
        <v>34078.616000000002</v>
      </c>
      <c r="D41" s="13" t="str">
        <f t="shared" si="3"/>
        <v>vis</v>
      </c>
      <c r="E41" s="50">
        <f>VLOOKUP(C41,Active!C$21:E$967,3,FALSE)</f>
        <v>-13750.030972360388</v>
      </c>
      <c r="F41" s="16" t="s">
        <v>62</v>
      </c>
      <c r="G41" s="13" t="str">
        <f t="shared" si="4"/>
        <v>34078.616</v>
      </c>
      <c r="H41" s="9">
        <f t="shared" si="5"/>
        <v>81</v>
      </c>
      <c r="I41" s="51" t="s">
        <v>108</v>
      </c>
      <c r="J41" s="52" t="s">
        <v>109</v>
      </c>
      <c r="K41" s="51">
        <v>81</v>
      </c>
      <c r="L41" s="51" t="s">
        <v>110</v>
      </c>
      <c r="M41" s="52" t="s">
        <v>69</v>
      </c>
      <c r="N41" s="52"/>
      <c r="O41" s="53" t="s">
        <v>81</v>
      </c>
      <c r="P41" s="53" t="s">
        <v>89</v>
      </c>
    </row>
    <row r="42" spans="1:16" ht="12.75" customHeight="1" thickBot="1">
      <c r="A42" s="9" t="str">
        <f t="shared" si="0"/>
        <v> PZ 9.208 </v>
      </c>
      <c r="B42" s="16" t="str">
        <f t="shared" si="1"/>
        <v>I</v>
      </c>
      <c r="C42" s="9">
        <f t="shared" si="2"/>
        <v>34096.559999999998</v>
      </c>
      <c r="D42" s="13" t="str">
        <f t="shared" si="3"/>
        <v>vis</v>
      </c>
      <c r="E42" s="50">
        <f>VLOOKUP(C42,Active!C$21:E$967,3,FALSE)</f>
        <v>-13739.025664740453</v>
      </c>
      <c r="F42" s="16" t="s">
        <v>62</v>
      </c>
      <c r="G42" s="13" t="str">
        <f t="shared" si="4"/>
        <v>34096.560</v>
      </c>
      <c r="H42" s="9">
        <f t="shared" si="5"/>
        <v>92</v>
      </c>
      <c r="I42" s="51" t="s">
        <v>111</v>
      </c>
      <c r="J42" s="52" t="s">
        <v>112</v>
      </c>
      <c r="K42" s="51">
        <v>92</v>
      </c>
      <c r="L42" s="51" t="s">
        <v>113</v>
      </c>
      <c r="M42" s="52" t="s">
        <v>69</v>
      </c>
      <c r="N42" s="52"/>
      <c r="O42" s="53" t="s">
        <v>81</v>
      </c>
      <c r="P42" s="53" t="s">
        <v>89</v>
      </c>
    </row>
    <row r="43" spans="1:16" ht="12.75" customHeight="1" thickBot="1">
      <c r="A43" s="9" t="str">
        <f t="shared" ref="A43:A74" si="6">P43</f>
        <v> PZ 9.208 </v>
      </c>
      <c r="B43" s="16" t="str">
        <f t="shared" ref="B43:B74" si="7">IF(H43=INT(H43),"I","II")</f>
        <v>I</v>
      </c>
      <c r="C43" s="9">
        <f t="shared" ref="C43:C74" si="8">1*G43</f>
        <v>34098.302000000003</v>
      </c>
      <c r="D43" s="13" t="str">
        <f t="shared" ref="D43:D74" si="9">VLOOKUP(F43,I$1:J$5,2,FALSE)</f>
        <v>vis</v>
      </c>
      <c r="E43" s="50">
        <f>VLOOKUP(C43,Active!C$21:E$967,3,FALSE)</f>
        <v>-13737.957271635572</v>
      </c>
      <c r="F43" s="16" t="s">
        <v>62</v>
      </c>
      <c r="G43" s="13" t="str">
        <f t="shared" ref="G43:G74" si="10">MID(I43,3,LEN(I43)-3)</f>
        <v>34098.302</v>
      </c>
      <c r="H43" s="9">
        <f t="shared" ref="H43:H74" si="11">1*K43</f>
        <v>93</v>
      </c>
      <c r="I43" s="51" t="s">
        <v>114</v>
      </c>
      <c r="J43" s="52" t="s">
        <v>115</v>
      </c>
      <c r="K43" s="51">
        <v>93</v>
      </c>
      <c r="L43" s="51" t="s">
        <v>116</v>
      </c>
      <c r="M43" s="52" t="s">
        <v>69</v>
      </c>
      <c r="N43" s="52"/>
      <c r="O43" s="53" t="s">
        <v>81</v>
      </c>
      <c r="P43" s="53" t="s">
        <v>89</v>
      </c>
    </row>
    <row r="44" spans="1:16" ht="12.75" customHeight="1" thickBot="1">
      <c r="A44" s="9" t="str">
        <f t="shared" si="6"/>
        <v> PZ 9.208 </v>
      </c>
      <c r="B44" s="16" t="str">
        <f t="shared" si="7"/>
        <v>I</v>
      </c>
      <c r="C44" s="9">
        <f t="shared" si="8"/>
        <v>34114.527999999998</v>
      </c>
      <c r="D44" s="13" t="str">
        <f t="shared" si="9"/>
        <v>vis</v>
      </c>
      <c r="E44" s="50">
        <f>VLOOKUP(C44,Active!C$21:E$967,3,FALSE)</f>
        <v>-13728.005637582906</v>
      </c>
      <c r="F44" s="16" t="s">
        <v>62</v>
      </c>
      <c r="G44" s="13" t="str">
        <f t="shared" si="10"/>
        <v>34114.528</v>
      </c>
      <c r="H44" s="9">
        <f t="shared" si="11"/>
        <v>103</v>
      </c>
      <c r="I44" s="51" t="s">
        <v>117</v>
      </c>
      <c r="J44" s="52" t="s">
        <v>118</v>
      </c>
      <c r="K44" s="51">
        <v>103</v>
      </c>
      <c r="L44" s="51" t="s">
        <v>119</v>
      </c>
      <c r="M44" s="52" t="s">
        <v>69</v>
      </c>
      <c r="N44" s="52"/>
      <c r="O44" s="53" t="s">
        <v>81</v>
      </c>
      <c r="P44" s="53" t="s">
        <v>89</v>
      </c>
    </row>
    <row r="45" spans="1:16" ht="12.75" customHeight="1" thickBot="1">
      <c r="A45" s="9" t="str">
        <f t="shared" si="6"/>
        <v> PZ 9.208 </v>
      </c>
      <c r="B45" s="16" t="str">
        <f t="shared" si="7"/>
        <v>I</v>
      </c>
      <c r="C45" s="9">
        <f t="shared" si="8"/>
        <v>34119.432999999997</v>
      </c>
      <c r="D45" s="13" t="str">
        <f t="shared" si="9"/>
        <v>vis</v>
      </c>
      <c r="E45" s="50">
        <f>VLOOKUP(C45,Active!C$21:E$967,3,FALSE)</f>
        <v>-13724.997332083811</v>
      </c>
      <c r="F45" s="16" t="s">
        <v>62</v>
      </c>
      <c r="G45" s="13" t="str">
        <f t="shared" si="10"/>
        <v>34119.433</v>
      </c>
      <c r="H45" s="9">
        <f t="shared" si="11"/>
        <v>106</v>
      </c>
      <c r="I45" s="51" t="s">
        <v>120</v>
      </c>
      <c r="J45" s="52" t="s">
        <v>121</v>
      </c>
      <c r="K45" s="51">
        <v>106</v>
      </c>
      <c r="L45" s="51" t="s">
        <v>122</v>
      </c>
      <c r="M45" s="52" t="s">
        <v>69</v>
      </c>
      <c r="N45" s="52"/>
      <c r="O45" s="53" t="s">
        <v>81</v>
      </c>
      <c r="P45" s="53" t="s">
        <v>89</v>
      </c>
    </row>
    <row r="46" spans="1:16" ht="12.75" customHeight="1" thickBot="1">
      <c r="A46" s="9" t="str">
        <f t="shared" si="6"/>
        <v> PZ 9.208 </v>
      </c>
      <c r="B46" s="16" t="str">
        <f t="shared" si="7"/>
        <v>I</v>
      </c>
      <c r="C46" s="9">
        <f t="shared" si="8"/>
        <v>34119.485000000001</v>
      </c>
      <c r="D46" s="13" t="str">
        <f t="shared" si="9"/>
        <v>vis</v>
      </c>
      <c r="E46" s="50">
        <f>VLOOKUP(C46,Active!C$21:E$967,3,FALSE)</f>
        <v>-13724.965439752319</v>
      </c>
      <c r="F46" s="16" t="s">
        <v>62</v>
      </c>
      <c r="G46" s="13" t="str">
        <f t="shared" si="10"/>
        <v>34119.485</v>
      </c>
      <c r="H46" s="9">
        <f t="shared" si="11"/>
        <v>106</v>
      </c>
      <c r="I46" s="51" t="s">
        <v>123</v>
      </c>
      <c r="J46" s="52" t="s">
        <v>124</v>
      </c>
      <c r="K46" s="51">
        <v>106</v>
      </c>
      <c r="L46" s="51" t="s">
        <v>125</v>
      </c>
      <c r="M46" s="52" t="s">
        <v>69</v>
      </c>
      <c r="N46" s="52"/>
      <c r="O46" s="53" t="s">
        <v>81</v>
      </c>
      <c r="P46" s="53" t="s">
        <v>89</v>
      </c>
    </row>
    <row r="47" spans="1:16" ht="12.75" customHeight="1" thickBot="1">
      <c r="A47" s="9" t="str">
        <f t="shared" si="6"/>
        <v> PTAO 34.212 </v>
      </c>
      <c r="B47" s="16" t="str">
        <f t="shared" si="7"/>
        <v>I</v>
      </c>
      <c r="C47" s="9">
        <f t="shared" si="8"/>
        <v>34419.442000000003</v>
      </c>
      <c r="D47" s="13" t="str">
        <f t="shared" si="9"/>
        <v>vis</v>
      </c>
      <c r="E47" s="50">
        <f>VLOOKUP(C47,Active!C$21:E$967,3,FALSE)</f>
        <v>-13540.997592128972</v>
      </c>
      <c r="F47" s="16" t="s">
        <v>62</v>
      </c>
      <c r="G47" s="13" t="str">
        <f t="shared" si="10"/>
        <v>34419.442</v>
      </c>
      <c r="H47" s="9">
        <f t="shared" si="11"/>
        <v>290</v>
      </c>
      <c r="I47" s="51" t="s">
        <v>126</v>
      </c>
      <c r="J47" s="52" t="s">
        <v>127</v>
      </c>
      <c r="K47" s="51">
        <v>290</v>
      </c>
      <c r="L47" s="51" t="s">
        <v>98</v>
      </c>
      <c r="M47" s="52" t="s">
        <v>65</v>
      </c>
      <c r="N47" s="52"/>
      <c r="O47" s="53" t="s">
        <v>81</v>
      </c>
      <c r="P47" s="53" t="s">
        <v>82</v>
      </c>
    </row>
    <row r="48" spans="1:16" ht="12.75" customHeight="1" thickBot="1">
      <c r="A48" s="9" t="str">
        <f t="shared" si="6"/>
        <v> PTAO 34.212 </v>
      </c>
      <c r="B48" s="16" t="str">
        <f t="shared" si="7"/>
        <v>II</v>
      </c>
      <c r="C48" s="9">
        <f t="shared" si="8"/>
        <v>34485.478999999999</v>
      </c>
      <c r="D48" s="13" t="str">
        <f t="shared" si="9"/>
        <v>vis</v>
      </c>
      <c r="E48" s="50">
        <f>VLOOKUP(C48,Active!C$21:E$967,3,FALSE)</f>
        <v>-13500.49617108028</v>
      </c>
      <c r="F48" s="16" t="s">
        <v>62</v>
      </c>
      <c r="G48" s="13" t="str">
        <f t="shared" si="10"/>
        <v>34485.479</v>
      </c>
      <c r="H48" s="9">
        <f t="shared" si="11"/>
        <v>330.5</v>
      </c>
      <c r="I48" s="51" t="s">
        <v>128</v>
      </c>
      <c r="J48" s="52" t="s">
        <v>129</v>
      </c>
      <c r="K48" s="51">
        <v>330.5</v>
      </c>
      <c r="L48" s="51" t="s">
        <v>64</v>
      </c>
      <c r="M48" s="52" t="s">
        <v>65</v>
      </c>
      <c r="N48" s="52"/>
      <c r="O48" s="53" t="s">
        <v>81</v>
      </c>
      <c r="P48" s="53" t="s">
        <v>82</v>
      </c>
    </row>
    <row r="49" spans="1:16" ht="12.75" customHeight="1" thickBot="1">
      <c r="A49" s="9" t="str">
        <f t="shared" si="6"/>
        <v> PTAO 34.212 </v>
      </c>
      <c r="B49" s="16" t="str">
        <f t="shared" si="7"/>
        <v>II</v>
      </c>
      <c r="C49" s="9">
        <f t="shared" si="8"/>
        <v>35023.54</v>
      </c>
      <c r="D49" s="13" t="str">
        <f t="shared" si="9"/>
        <v>vis</v>
      </c>
      <c r="E49" s="50">
        <f>VLOOKUP(C49,Active!C$21:E$967,3,FALSE)</f>
        <v>-13170.495790825558</v>
      </c>
      <c r="F49" s="16" t="s">
        <v>62</v>
      </c>
      <c r="G49" s="13" t="str">
        <f t="shared" si="10"/>
        <v>35023.540</v>
      </c>
      <c r="H49" s="9">
        <f t="shared" si="11"/>
        <v>660.5</v>
      </c>
      <c r="I49" s="51" t="s">
        <v>130</v>
      </c>
      <c r="J49" s="52" t="s">
        <v>131</v>
      </c>
      <c r="K49" s="51">
        <v>660.5</v>
      </c>
      <c r="L49" s="51" t="s">
        <v>132</v>
      </c>
      <c r="M49" s="52" t="s">
        <v>65</v>
      </c>
      <c r="N49" s="52"/>
      <c r="O49" s="53" t="s">
        <v>81</v>
      </c>
      <c r="P49" s="53" t="s">
        <v>82</v>
      </c>
    </row>
    <row r="50" spans="1:16" ht="12.75" customHeight="1" thickBot="1">
      <c r="A50" s="9" t="str">
        <f t="shared" si="6"/>
        <v> PTAO 34.212 </v>
      </c>
      <c r="B50" s="16" t="str">
        <f t="shared" si="7"/>
        <v>I</v>
      </c>
      <c r="C50" s="9">
        <f t="shared" si="8"/>
        <v>35145.016000000003</v>
      </c>
      <c r="D50" s="13" t="str">
        <f t="shared" si="9"/>
        <v>vis</v>
      </c>
      <c r="E50" s="50">
        <f>VLOOKUP(C50,Active!C$21:E$967,3,FALSE)</f>
        <v>-13095.992851211233</v>
      </c>
      <c r="F50" s="16" t="s">
        <v>62</v>
      </c>
      <c r="G50" s="13" t="str">
        <f t="shared" si="10"/>
        <v>35145.016</v>
      </c>
      <c r="H50" s="9">
        <f t="shared" si="11"/>
        <v>735</v>
      </c>
      <c r="I50" s="51" t="s">
        <v>133</v>
      </c>
      <c r="J50" s="52" t="s">
        <v>134</v>
      </c>
      <c r="K50" s="51">
        <v>735</v>
      </c>
      <c r="L50" s="51" t="s">
        <v>135</v>
      </c>
      <c r="M50" s="52" t="s">
        <v>65</v>
      </c>
      <c r="N50" s="52"/>
      <c r="O50" s="53" t="s">
        <v>81</v>
      </c>
      <c r="P50" s="53" t="s">
        <v>82</v>
      </c>
    </row>
    <row r="51" spans="1:16" ht="12.75" customHeight="1" thickBot="1">
      <c r="A51" s="9" t="str">
        <f t="shared" si="6"/>
        <v> MSAI 37.260 </v>
      </c>
      <c r="B51" s="16" t="str">
        <f t="shared" si="7"/>
        <v>I</v>
      </c>
      <c r="C51" s="9">
        <f t="shared" si="8"/>
        <v>36780.417999999998</v>
      </c>
      <c r="D51" s="13" t="str">
        <f t="shared" si="9"/>
        <v>vis</v>
      </c>
      <c r="E51" s="50">
        <f>VLOOKUP(C51,Active!C$21:E$967,3,FALSE)</f>
        <v>-12092.977799257402</v>
      </c>
      <c r="F51" s="16" t="s">
        <v>62</v>
      </c>
      <c r="G51" s="13" t="str">
        <f t="shared" si="10"/>
        <v>36780.418</v>
      </c>
      <c r="H51" s="9">
        <f t="shared" si="11"/>
        <v>1738</v>
      </c>
      <c r="I51" s="51" t="s">
        <v>136</v>
      </c>
      <c r="J51" s="52" t="s">
        <v>137</v>
      </c>
      <c r="K51" s="51">
        <v>1738</v>
      </c>
      <c r="L51" s="51" t="s">
        <v>138</v>
      </c>
      <c r="M51" s="52" t="s">
        <v>69</v>
      </c>
      <c r="N51" s="52"/>
      <c r="O51" s="53" t="s">
        <v>139</v>
      </c>
      <c r="P51" s="53" t="s">
        <v>140</v>
      </c>
    </row>
    <row r="52" spans="1:16" ht="12.75" customHeight="1" thickBot="1">
      <c r="A52" s="9" t="str">
        <f t="shared" si="6"/>
        <v> MSAI 37.260 </v>
      </c>
      <c r="B52" s="16" t="str">
        <f t="shared" si="7"/>
        <v>I</v>
      </c>
      <c r="C52" s="9">
        <f t="shared" si="8"/>
        <v>36806.39</v>
      </c>
      <c r="D52" s="13" t="str">
        <f t="shared" si="9"/>
        <v>vis</v>
      </c>
      <c r="E52" s="50">
        <f>VLOOKUP(C52,Active!C$21:E$967,3,FALSE)</f>
        <v>-12077.048806306831</v>
      </c>
      <c r="F52" s="16" t="s">
        <v>62</v>
      </c>
      <c r="G52" s="13" t="str">
        <f t="shared" si="10"/>
        <v>36806.390</v>
      </c>
      <c r="H52" s="9">
        <f t="shared" si="11"/>
        <v>1754</v>
      </c>
      <c r="I52" s="51" t="s">
        <v>141</v>
      </c>
      <c r="J52" s="52" t="s">
        <v>142</v>
      </c>
      <c r="K52" s="51">
        <v>1754</v>
      </c>
      <c r="L52" s="51" t="s">
        <v>143</v>
      </c>
      <c r="M52" s="52" t="s">
        <v>69</v>
      </c>
      <c r="N52" s="52"/>
      <c r="O52" s="53" t="s">
        <v>139</v>
      </c>
      <c r="P52" s="53" t="s">
        <v>140</v>
      </c>
    </row>
    <row r="53" spans="1:16" ht="12.75" customHeight="1" thickBot="1">
      <c r="A53" s="9" t="str">
        <f t="shared" si="6"/>
        <v> MSAI 37.260 </v>
      </c>
      <c r="B53" s="16" t="str">
        <f t="shared" si="7"/>
        <v>I</v>
      </c>
      <c r="C53" s="9">
        <f t="shared" si="8"/>
        <v>36842.341</v>
      </c>
      <c r="D53" s="13" t="str">
        <f t="shared" si="9"/>
        <v>vis</v>
      </c>
      <c r="E53" s="50">
        <f>VLOOKUP(C53,Active!C$21:E$967,3,FALSE)</f>
        <v>-12054.999552280731</v>
      </c>
      <c r="F53" s="16" t="s">
        <v>62</v>
      </c>
      <c r="G53" s="13" t="str">
        <f t="shared" si="10"/>
        <v>36842.341</v>
      </c>
      <c r="H53" s="9">
        <f t="shared" si="11"/>
        <v>1776</v>
      </c>
      <c r="I53" s="51" t="s">
        <v>144</v>
      </c>
      <c r="J53" s="52" t="s">
        <v>145</v>
      </c>
      <c r="K53" s="51">
        <v>1776</v>
      </c>
      <c r="L53" s="51" t="s">
        <v>132</v>
      </c>
      <c r="M53" s="52" t="s">
        <v>69</v>
      </c>
      <c r="N53" s="52"/>
      <c r="O53" s="53" t="s">
        <v>139</v>
      </c>
      <c r="P53" s="53" t="s">
        <v>140</v>
      </c>
    </row>
    <row r="54" spans="1:16" ht="12.75" customHeight="1" thickBot="1">
      <c r="A54" s="9" t="str">
        <f t="shared" si="6"/>
        <v> MSAI 37.260 </v>
      </c>
      <c r="B54" s="16" t="str">
        <f t="shared" si="7"/>
        <v>I</v>
      </c>
      <c r="C54" s="9">
        <f t="shared" si="8"/>
        <v>36896.216999999997</v>
      </c>
      <c r="D54" s="13" t="str">
        <f t="shared" si="9"/>
        <v>vis</v>
      </c>
      <c r="E54" s="50">
        <f>VLOOKUP(C54,Active!C$21:E$967,3,FALSE)</f>
        <v>-12021.956643601972</v>
      </c>
      <c r="F54" s="16" t="s">
        <v>62</v>
      </c>
      <c r="G54" s="13" t="str">
        <f t="shared" si="10"/>
        <v>36896.217</v>
      </c>
      <c r="H54" s="9">
        <f t="shared" si="11"/>
        <v>1809</v>
      </c>
      <c r="I54" s="51" t="s">
        <v>146</v>
      </c>
      <c r="J54" s="52" t="s">
        <v>147</v>
      </c>
      <c r="K54" s="51">
        <v>1809</v>
      </c>
      <c r="L54" s="51" t="s">
        <v>148</v>
      </c>
      <c r="M54" s="52" t="s">
        <v>69</v>
      </c>
      <c r="N54" s="52"/>
      <c r="O54" s="53" t="s">
        <v>139</v>
      </c>
      <c r="P54" s="53" t="s">
        <v>140</v>
      </c>
    </row>
    <row r="55" spans="1:16" ht="12.75" customHeight="1" thickBot="1">
      <c r="A55" s="9" t="str">
        <f t="shared" si="6"/>
        <v> MSAI 37.260 </v>
      </c>
      <c r="B55" s="16" t="str">
        <f t="shared" si="7"/>
        <v>I</v>
      </c>
      <c r="C55" s="9">
        <f t="shared" si="8"/>
        <v>36922.232000000004</v>
      </c>
      <c r="D55" s="13" t="str">
        <f t="shared" si="9"/>
        <v>vis</v>
      </c>
      <c r="E55" s="50">
        <f>VLOOKUP(C55,Active!C$21:E$967,3,FALSE)</f>
        <v>-12006.001278146514</v>
      </c>
      <c r="F55" s="16" t="s">
        <v>62</v>
      </c>
      <c r="G55" s="13" t="str">
        <f t="shared" si="10"/>
        <v>36922.232</v>
      </c>
      <c r="H55" s="9">
        <f t="shared" si="11"/>
        <v>1825</v>
      </c>
      <c r="I55" s="51" t="s">
        <v>149</v>
      </c>
      <c r="J55" s="52" t="s">
        <v>150</v>
      </c>
      <c r="K55" s="51">
        <v>1825</v>
      </c>
      <c r="L55" s="51" t="s">
        <v>151</v>
      </c>
      <c r="M55" s="52" t="s">
        <v>69</v>
      </c>
      <c r="N55" s="52"/>
      <c r="O55" s="53" t="s">
        <v>139</v>
      </c>
      <c r="P55" s="53" t="s">
        <v>140</v>
      </c>
    </row>
    <row r="56" spans="1:16" ht="12.75" customHeight="1" thickBot="1">
      <c r="A56" s="9" t="str">
        <f t="shared" si="6"/>
        <v> MSAI 37.260 </v>
      </c>
      <c r="B56" s="16" t="str">
        <f t="shared" si="7"/>
        <v>I</v>
      </c>
      <c r="C56" s="9">
        <f t="shared" si="8"/>
        <v>37116.394999999997</v>
      </c>
      <c r="D56" s="13" t="str">
        <f t="shared" si="9"/>
        <v>vis</v>
      </c>
      <c r="E56" s="50">
        <f>VLOOKUP(C56,Active!C$21:E$967,3,FALSE)</f>
        <v>-11886.918378937326</v>
      </c>
      <c r="F56" s="16" t="s">
        <v>62</v>
      </c>
      <c r="G56" s="13" t="str">
        <f t="shared" si="10"/>
        <v>37116.395</v>
      </c>
      <c r="H56" s="9">
        <f t="shared" si="11"/>
        <v>1944</v>
      </c>
      <c r="I56" s="51" t="s">
        <v>152</v>
      </c>
      <c r="J56" s="52" t="s">
        <v>153</v>
      </c>
      <c r="K56" s="51">
        <v>1944</v>
      </c>
      <c r="L56" s="51" t="s">
        <v>154</v>
      </c>
      <c r="M56" s="52" t="s">
        <v>69</v>
      </c>
      <c r="N56" s="52"/>
      <c r="O56" s="53" t="s">
        <v>139</v>
      </c>
      <c r="P56" s="53" t="s">
        <v>140</v>
      </c>
    </row>
    <row r="57" spans="1:16" ht="12.75" customHeight="1" thickBot="1">
      <c r="A57" s="9" t="str">
        <f t="shared" si="6"/>
        <v> MSAI 37.260 </v>
      </c>
      <c r="B57" s="16" t="str">
        <f t="shared" si="7"/>
        <v>I</v>
      </c>
      <c r="C57" s="9">
        <f t="shared" si="8"/>
        <v>37168.434000000001</v>
      </c>
      <c r="D57" s="13" t="str">
        <f t="shared" si="9"/>
        <v>vis</v>
      </c>
      <c r="E57" s="50">
        <f>VLOOKUP(C57,Active!C$21:E$967,3,FALSE)</f>
        <v>-11855.002128199812</v>
      </c>
      <c r="F57" s="16" t="s">
        <v>62</v>
      </c>
      <c r="G57" s="13" t="str">
        <f t="shared" si="10"/>
        <v>37168.434</v>
      </c>
      <c r="H57" s="9">
        <f t="shared" si="11"/>
        <v>1976</v>
      </c>
      <c r="I57" s="51" t="s">
        <v>155</v>
      </c>
      <c r="J57" s="52" t="s">
        <v>156</v>
      </c>
      <c r="K57" s="51">
        <v>1976</v>
      </c>
      <c r="L57" s="51" t="s">
        <v>151</v>
      </c>
      <c r="M57" s="52" t="s">
        <v>69</v>
      </c>
      <c r="N57" s="52"/>
      <c r="O57" s="53" t="s">
        <v>139</v>
      </c>
      <c r="P57" s="53" t="s">
        <v>140</v>
      </c>
    </row>
    <row r="58" spans="1:16" ht="12.75" customHeight="1" thickBot="1">
      <c r="A58" s="9" t="str">
        <f t="shared" si="6"/>
        <v> MSAI 37.260 </v>
      </c>
      <c r="B58" s="16" t="str">
        <f t="shared" si="7"/>
        <v>I</v>
      </c>
      <c r="C58" s="9">
        <f t="shared" si="8"/>
        <v>37173.356</v>
      </c>
      <c r="D58" s="13" t="str">
        <f t="shared" si="9"/>
        <v>vis</v>
      </c>
      <c r="E58" s="50">
        <f>VLOOKUP(C58,Active!C$21:E$967,3,FALSE)</f>
        <v>-11851.983396361577</v>
      </c>
      <c r="F58" s="16" t="s">
        <v>62</v>
      </c>
      <c r="G58" s="13" t="str">
        <f t="shared" si="10"/>
        <v>37173.356</v>
      </c>
      <c r="H58" s="9">
        <f t="shared" si="11"/>
        <v>1979</v>
      </c>
      <c r="I58" s="51" t="s">
        <v>157</v>
      </c>
      <c r="J58" s="52" t="s">
        <v>158</v>
      </c>
      <c r="K58" s="51">
        <v>1979</v>
      </c>
      <c r="L58" s="51" t="s">
        <v>159</v>
      </c>
      <c r="M58" s="52" t="s">
        <v>69</v>
      </c>
      <c r="N58" s="52"/>
      <c r="O58" s="53" t="s">
        <v>139</v>
      </c>
      <c r="P58" s="53" t="s">
        <v>140</v>
      </c>
    </row>
    <row r="59" spans="1:16" ht="12.75" customHeight="1" thickBot="1">
      <c r="A59" s="9" t="str">
        <f t="shared" si="6"/>
        <v> MSAI 37.260 </v>
      </c>
      <c r="B59" s="16" t="str">
        <f t="shared" si="7"/>
        <v>I</v>
      </c>
      <c r="C59" s="9">
        <f t="shared" si="8"/>
        <v>37253.224000000002</v>
      </c>
      <c r="D59" s="13" t="str">
        <f t="shared" si="9"/>
        <v>vis</v>
      </c>
      <c r="E59" s="50">
        <f>VLOOKUP(C59,Active!C$21:E$967,3,FALSE)</f>
        <v>-11802.999228450903</v>
      </c>
      <c r="F59" s="16" t="s">
        <v>62</v>
      </c>
      <c r="G59" s="13" t="str">
        <f t="shared" si="10"/>
        <v>37253.224</v>
      </c>
      <c r="H59" s="9">
        <f t="shared" si="11"/>
        <v>2028</v>
      </c>
      <c r="I59" s="51" t="s">
        <v>160</v>
      </c>
      <c r="J59" s="52" t="s">
        <v>161</v>
      </c>
      <c r="K59" s="51">
        <v>2028</v>
      </c>
      <c r="L59" s="51" t="s">
        <v>162</v>
      </c>
      <c r="M59" s="52" t="s">
        <v>69</v>
      </c>
      <c r="N59" s="52"/>
      <c r="O59" s="53" t="s">
        <v>139</v>
      </c>
      <c r="P59" s="53" t="s">
        <v>140</v>
      </c>
    </row>
    <row r="60" spans="1:16" ht="12.75" customHeight="1" thickBot="1">
      <c r="A60" s="9" t="str">
        <f t="shared" si="6"/>
        <v> MSAI 37.260 </v>
      </c>
      <c r="B60" s="16" t="str">
        <f t="shared" si="7"/>
        <v>I</v>
      </c>
      <c r="C60" s="9">
        <f t="shared" si="8"/>
        <v>37468.421999999999</v>
      </c>
      <c r="D60" s="13" t="str">
        <f t="shared" si="9"/>
        <v>vis</v>
      </c>
      <c r="E60" s="50">
        <f>VLOOKUP(C60,Active!C$21:E$967,3,FALSE)</f>
        <v>-11671.015267840388</v>
      </c>
      <c r="F60" s="16" t="s">
        <v>62</v>
      </c>
      <c r="G60" s="13" t="str">
        <f t="shared" si="10"/>
        <v>37468.422</v>
      </c>
      <c r="H60" s="9">
        <f t="shared" si="11"/>
        <v>2160</v>
      </c>
      <c r="I60" s="51" t="s">
        <v>163</v>
      </c>
      <c r="J60" s="52" t="s">
        <v>164</v>
      </c>
      <c r="K60" s="51">
        <v>2160</v>
      </c>
      <c r="L60" s="51" t="s">
        <v>165</v>
      </c>
      <c r="M60" s="52" t="s">
        <v>69</v>
      </c>
      <c r="N60" s="52"/>
      <c r="O60" s="53" t="s">
        <v>139</v>
      </c>
      <c r="P60" s="53" t="s">
        <v>140</v>
      </c>
    </row>
    <row r="61" spans="1:16" ht="12.75" customHeight="1" thickBot="1">
      <c r="A61" s="9" t="str">
        <f t="shared" si="6"/>
        <v> MSAI 37.260 </v>
      </c>
      <c r="B61" s="16" t="str">
        <f t="shared" si="7"/>
        <v>I</v>
      </c>
      <c r="C61" s="9">
        <f t="shared" si="8"/>
        <v>37499.461000000003</v>
      </c>
      <c r="D61" s="13" t="str">
        <f t="shared" si="9"/>
        <v>vis</v>
      </c>
      <c r="E61" s="50">
        <f>VLOOKUP(C61,Active!C$21:E$967,3,FALSE)</f>
        <v>-11651.978612511852</v>
      </c>
      <c r="F61" s="16" t="s">
        <v>62</v>
      </c>
      <c r="G61" s="13" t="str">
        <f t="shared" si="10"/>
        <v>37499.461</v>
      </c>
      <c r="H61" s="9">
        <f t="shared" si="11"/>
        <v>2179</v>
      </c>
      <c r="I61" s="51" t="s">
        <v>166</v>
      </c>
      <c r="J61" s="52" t="s">
        <v>167</v>
      </c>
      <c r="K61" s="51">
        <v>2179</v>
      </c>
      <c r="L61" s="51" t="s">
        <v>168</v>
      </c>
      <c r="M61" s="52" t="s">
        <v>69</v>
      </c>
      <c r="N61" s="52"/>
      <c r="O61" s="53" t="s">
        <v>139</v>
      </c>
      <c r="P61" s="53" t="s">
        <v>140</v>
      </c>
    </row>
    <row r="62" spans="1:16" ht="12.75" customHeight="1" thickBot="1">
      <c r="A62" s="9" t="str">
        <f t="shared" si="6"/>
        <v> MSAI 37.260 </v>
      </c>
      <c r="B62" s="16" t="str">
        <f t="shared" si="7"/>
        <v>I</v>
      </c>
      <c r="C62" s="9">
        <f t="shared" si="8"/>
        <v>37517.375</v>
      </c>
      <c r="D62" s="13" t="str">
        <f t="shared" si="9"/>
        <v>vis</v>
      </c>
      <c r="E62" s="50">
        <f>VLOOKUP(C62,Active!C$21:E$967,3,FALSE)</f>
        <v>-11640.991704313928</v>
      </c>
      <c r="F62" s="16" t="s">
        <v>62</v>
      </c>
      <c r="G62" s="13" t="str">
        <f t="shared" si="10"/>
        <v>37517.375</v>
      </c>
      <c r="H62" s="9">
        <f t="shared" si="11"/>
        <v>2190</v>
      </c>
      <c r="I62" s="51" t="s">
        <v>169</v>
      </c>
      <c r="J62" s="52" t="s">
        <v>170</v>
      </c>
      <c r="K62" s="51">
        <v>2190</v>
      </c>
      <c r="L62" s="51" t="s">
        <v>171</v>
      </c>
      <c r="M62" s="52" t="s">
        <v>69</v>
      </c>
      <c r="N62" s="52"/>
      <c r="O62" s="53" t="s">
        <v>139</v>
      </c>
      <c r="P62" s="53" t="s">
        <v>140</v>
      </c>
    </row>
    <row r="63" spans="1:16" ht="12.75" customHeight="1" thickBot="1">
      <c r="A63" s="9" t="str">
        <f t="shared" si="6"/>
        <v> MSAI 37.260 </v>
      </c>
      <c r="B63" s="16" t="str">
        <f t="shared" si="7"/>
        <v>I</v>
      </c>
      <c r="C63" s="9">
        <f t="shared" si="8"/>
        <v>37548.406000000003</v>
      </c>
      <c r="D63" s="13" t="str">
        <f t="shared" si="9"/>
        <v>vis</v>
      </c>
      <c r="E63" s="50">
        <f>VLOOKUP(C63,Active!C$21:E$967,3,FALSE)</f>
        <v>-11621.95995549793</v>
      </c>
      <c r="F63" s="16" t="s">
        <v>62</v>
      </c>
      <c r="G63" s="13" t="str">
        <f t="shared" si="10"/>
        <v>37548.406</v>
      </c>
      <c r="H63" s="9">
        <f t="shared" si="11"/>
        <v>2209</v>
      </c>
      <c r="I63" s="51" t="s">
        <v>172</v>
      </c>
      <c r="J63" s="52" t="s">
        <v>173</v>
      </c>
      <c r="K63" s="51">
        <v>2209</v>
      </c>
      <c r="L63" s="51" t="s">
        <v>174</v>
      </c>
      <c r="M63" s="52" t="s">
        <v>69</v>
      </c>
      <c r="N63" s="52"/>
      <c r="O63" s="53" t="s">
        <v>139</v>
      </c>
      <c r="P63" s="53" t="s">
        <v>140</v>
      </c>
    </row>
    <row r="64" spans="1:16" ht="12.75" customHeight="1" thickBot="1">
      <c r="A64" s="9" t="str">
        <f t="shared" si="6"/>
        <v> MSAI 37.260 </v>
      </c>
      <c r="B64" s="16" t="str">
        <f t="shared" si="7"/>
        <v>I</v>
      </c>
      <c r="C64" s="9">
        <f t="shared" si="8"/>
        <v>37584.252</v>
      </c>
      <c r="D64" s="13" t="str">
        <f t="shared" si="9"/>
        <v>vis</v>
      </c>
      <c r="E64" s="50">
        <f>VLOOKUP(C64,Active!C$21:E$967,3,FALSE)</f>
        <v>-11599.975099448877</v>
      </c>
      <c r="F64" s="16" t="s">
        <v>62</v>
      </c>
      <c r="G64" s="13" t="str">
        <f t="shared" si="10"/>
        <v>37584.252</v>
      </c>
      <c r="H64" s="9">
        <f t="shared" si="11"/>
        <v>2231</v>
      </c>
      <c r="I64" s="51" t="s">
        <v>175</v>
      </c>
      <c r="J64" s="52" t="s">
        <v>176</v>
      </c>
      <c r="K64" s="51">
        <v>2231</v>
      </c>
      <c r="L64" s="51" t="s">
        <v>177</v>
      </c>
      <c r="M64" s="52" t="s">
        <v>69</v>
      </c>
      <c r="N64" s="52"/>
      <c r="O64" s="53" t="s">
        <v>139</v>
      </c>
      <c r="P64" s="53" t="s">
        <v>140</v>
      </c>
    </row>
    <row r="65" spans="1:16" ht="12.75" customHeight="1" thickBot="1">
      <c r="A65" s="9" t="str">
        <f t="shared" si="6"/>
        <v> MSAI 37.260 </v>
      </c>
      <c r="B65" s="16" t="str">
        <f t="shared" si="7"/>
        <v>I</v>
      </c>
      <c r="C65" s="9">
        <f t="shared" si="8"/>
        <v>37615.222999999998</v>
      </c>
      <c r="D65" s="13" t="str">
        <f t="shared" si="9"/>
        <v>vis</v>
      </c>
      <c r="E65" s="50">
        <f>VLOOKUP(C65,Active!C$21:E$967,3,FALSE)</f>
        <v>-11580.980149476905</v>
      </c>
      <c r="F65" s="16" t="s">
        <v>62</v>
      </c>
      <c r="G65" s="13" t="str">
        <f t="shared" si="10"/>
        <v>37615.223</v>
      </c>
      <c r="H65" s="9">
        <f t="shared" si="11"/>
        <v>2250</v>
      </c>
      <c r="I65" s="51" t="s">
        <v>178</v>
      </c>
      <c r="J65" s="52" t="s">
        <v>179</v>
      </c>
      <c r="K65" s="51">
        <v>2250</v>
      </c>
      <c r="L65" s="51" t="s">
        <v>180</v>
      </c>
      <c r="M65" s="52" t="s">
        <v>69</v>
      </c>
      <c r="N65" s="52"/>
      <c r="O65" s="53" t="s">
        <v>139</v>
      </c>
      <c r="P65" s="53" t="s">
        <v>140</v>
      </c>
    </row>
    <row r="66" spans="1:16" ht="12.75" customHeight="1" thickBot="1">
      <c r="A66" s="9" t="str">
        <f t="shared" si="6"/>
        <v> MSAI 37.260 </v>
      </c>
      <c r="B66" s="16" t="str">
        <f t="shared" si="7"/>
        <v>I</v>
      </c>
      <c r="C66" s="9">
        <f t="shared" si="8"/>
        <v>37641.207999999999</v>
      </c>
      <c r="D66" s="13" t="str">
        <f t="shared" si="9"/>
        <v>vis</v>
      </c>
      <c r="E66" s="50">
        <f>VLOOKUP(C66,Active!C$21:E$967,3,FALSE)</f>
        <v>-11565.043183443466</v>
      </c>
      <c r="F66" s="16" t="s">
        <v>62</v>
      </c>
      <c r="G66" s="13" t="str">
        <f t="shared" si="10"/>
        <v>37641.208</v>
      </c>
      <c r="H66" s="9">
        <f t="shared" si="11"/>
        <v>2266</v>
      </c>
      <c r="I66" s="51" t="s">
        <v>181</v>
      </c>
      <c r="J66" s="52" t="s">
        <v>182</v>
      </c>
      <c r="K66" s="51">
        <v>2266</v>
      </c>
      <c r="L66" s="51" t="s">
        <v>183</v>
      </c>
      <c r="M66" s="52" t="s">
        <v>69</v>
      </c>
      <c r="N66" s="52"/>
      <c r="O66" s="53" t="s">
        <v>139</v>
      </c>
      <c r="P66" s="53" t="s">
        <v>140</v>
      </c>
    </row>
    <row r="67" spans="1:16" ht="12.75" customHeight="1" thickBot="1">
      <c r="A67" s="9" t="str">
        <f t="shared" si="6"/>
        <v> MSAI 37.260 </v>
      </c>
      <c r="B67" s="16" t="str">
        <f t="shared" si="7"/>
        <v>I</v>
      </c>
      <c r="C67" s="9">
        <f t="shared" si="8"/>
        <v>37659.22</v>
      </c>
      <c r="D67" s="13" t="str">
        <f t="shared" si="9"/>
        <v>vis</v>
      </c>
      <c r="E67" s="50">
        <f>VLOOKUP(C67,Active!C$21:E$967,3,FALSE)</f>
        <v>-11553.996170466964</v>
      </c>
      <c r="F67" s="16" t="s">
        <v>62</v>
      </c>
      <c r="G67" s="13" t="str">
        <f t="shared" si="10"/>
        <v>37659.220</v>
      </c>
      <c r="H67" s="9">
        <f t="shared" si="11"/>
        <v>2277</v>
      </c>
      <c r="I67" s="51" t="s">
        <v>184</v>
      </c>
      <c r="J67" s="52" t="s">
        <v>185</v>
      </c>
      <c r="K67" s="51">
        <v>2277</v>
      </c>
      <c r="L67" s="51" t="s">
        <v>186</v>
      </c>
      <c r="M67" s="52" t="s">
        <v>69</v>
      </c>
      <c r="N67" s="52"/>
      <c r="O67" s="53" t="s">
        <v>139</v>
      </c>
      <c r="P67" s="53" t="s">
        <v>140</v>
      </c>
    </row>
    <row r="68" spans="1:16" ht="12.75" customHeight="1" thickBot="1">
      <c r="A68" s="9" t="str">
        <f t="shared" si="6"/>
        <v> MSAI 37.260 </v>
      </c>
      <c r="B68" s="16" t="str">
        <f t="shared" si="7"/>
        <v>I</v>
      </c>
      <c r="C68" s="9">
        <f t="shared" si="8"/>
        <v>37928.31</v>
      </c>
      <c r="D68" s="13" t="str">
        <f t="shared" si="9"/>
        <v>vis</v>
      </c>
      <c r="E68" s="50">
        <f>VLOOKUP(C68,Active!C$21:E$967,3,FALSE)</f>
        <v>-11388.959488152614</v>
      </c>
      <c r="F68" s="16" t="s">
        <v>62</v>
      </c>
      <c r="G68" s="13" t="str">
        <f t="shared" si="10"/>
        <v>37928.310</v>
      </c>
      <c r="H68" s="9">
        <f t="shared" si="11"/>
        <v>2442</v>
      </c>
      <c r="I68" s="51" t="s">
        <v>187</v>
      </c>
      <c r="J68" s="52" t="s">
        <v>188</v>
      </c>
      <c r="K68" s="51">
        <v>2442</v>
      </c>
      <c r="L68" s="51" t="s">
        <v>189</v>
      </c>
      <c r="M68" s="52" t="s">
        <v>69</v>
      </c>
      <c r="N68" s="52"/>
      <c r="O68" s="53" t="s">
        <v>139</v>
      </c>
      <c r="P68" s="53" t="s">
        <v>140</v>
      </c>
    </row>
    <row r="69" spans="1:16" ht="12.75" customHeight="1" thickBot="1">
      <c r="A69" s="9" t="str">
        <f t="shared" si="6"/>
        <v> MSAI 37.260 </v>
      </c>
      <c r="B69" s="16" t="str">
        <f t="shared" si="7"/>
        <v>I</v>
      </c>
      <c r="C69" s="9">
        <f t="shared" si="8"/>
        <v>38316.32</v>
      </c>
      <c r="D69" s="13" t="str">
        <f t="shared" si="9"/>
        <v>vis</v>
      </c>
      <c r="E69" s="50">
        <f>VLOOKUP(C69,Active!C$21:E$967,3,FALSE)</f>
        <v>-11150.987496979429</v>
      </c>
      <c r="F69" s="16" t="s">
        <v>62</v>
      </c>
      <c r="G69" s="13" t="str">
        <f t="shared" si="10"/>
        <v>38316.320</v>
      </c>
      <c r="H69" s="9">
        <f t="shared" si="11"/>
        <v>2680</v>
      </c>
      <c r="I69" s="51" t="s">
        <v>190</v>
      </c>
      <c r="J69" s="52" t="s">
        <v>191</v>
      </c>
      <c r="K69" s="51">
        <v>2680</v>
      </c>
      <c r="L69" s="51" t="s">
        <v>192</v>
      </c>
      <c r="M69" s="52" t="s">
        <v>69</v>
      </c>
      <c r="N69" s="52"/>
      <c r="O69" s="53" t="s">
        <v>139</v>
      </c>
      <c r="P69" s="53" t="s">
        <v>140</v>
      </c>
    </row>
    <row r="70" spans="1:16" ht="12.75" customHeight="1" thickBot="1">
      <c r="A70" s="9" t="str">
        <f t="shared" si="6"/>
        <v> AOEB 8 </v>
      </c>
      <c r="B70" s="16" t="str">
        <f t="shared" si="7"/>
        <v>I</v>
      </c>
      <c r="C70" s="9">
        <f t="shared" si="8"/>
        <v>43096.864000000001</v>
      </c>
      <c r="D70" s="13" t="str">
        <f t="shared" si="9"/>
        <v>vis</v>
      </c>
      <c r="E70" s="50">
        <f>VLOOKUP(C70,Active!C$21:E$967,3,FALSE)</f>
        <v>-8219.0126134171041</v>
      </c>
      <c r="F70" s="16" t="s">
        <v>62</v>
      </c>
      <c r="G70" s="13" t="str">
        <f t="shared" si="10"/>
        <v>43096.864</v>
      </c>
      <c r="H70" s="9">
        <f t="shared" si="11"/>
        <v>5612</v>
      </c>
      <c r="I70" s="51" t="s">
        <v>193</v>
      </c>
      <c r="J70" s="52" t="s">
        <v>194</v>
      </c>
      <c r="K70" s="51">
        <v>5612</v>
      </c>
      <c r="L70" s="51" t="s">
        <v>64</v>
      </c>
      <c r="M70" s="52" t="s">
        <v>195</v>
      </c>
      <c r="N70" s="52"/>
      <c r="O70" s="53" t="s">
        <v>196</v>
      </c>
      <c r="P70" s="53" t="s">
        <v>197</v>
      </c>
    </row>
    <row r="71" spans="1:16" ht="12.75" customHeight="1" thickBot="1">
      <c r="A71" s="9" t="str">
        <f t="shared" si="6"/>
        <v> AOEB 8 </v>
      </c>
      <c r="B71" s="16" t="str">
        <f t="shared" si="7"/>
        <v>I</v>
      </c>
      <c r="C71" s="9">
        <f t="shared" si="8"/>
        <v>43096.868000000002</v>
      </c>
      <c r="D71" s="13" t="str">
        <f t="shared" si="9"/>
        <v>vis</v>
      </c>
      <c r="E71" s="50">
        <f>VLOOKUP(C71,Active!C$21:E$967,3,FALSE)</f>
        <v>-8219.0101601608349</v>
      </c>
      <c r="F71" s="16" t="s">
        <v>62</v>
      </c>
      <c r="G71" s="13" t="str">
        <f t="shared" si="10"/>
        <v>43096.868</v>
      </c>
      <c r="H71" s="9">
        <f t="shared" si="11"/>
        <v>5612</v>
      </c>
      <c r="I71" s="51" t="s">
        <v>198</v>
      </c>
      <c r="J71" s="52" t="s">
        <v>199</v>
      </c>
      <c r="K71" s="51">
        <v>5612</v>
      </c>
      <c r="L71" s="51" t="s">
        <v>162</v>
      </c>
      <c r="M71" s="52" t="s">
        <v>195</v>
      </c>
      <c r="N71" s="52"/>
      <c r="O71" s="53" t="s">
        <v>200</v>
      </c>
      <c r="P71" s="53" t="s">
        <v>197</v>
      </c>
    </row>
    <row r="72" spans="1:16" ht="12.75" customHeight="1" thickBot="1">
      <c r="A72" s="9" t="str">
        <f t="shared" si="6"/>
        <v> AOEB 8 </v>
      </c>
      <c r="B72" s="16" t="str">
        <f t="shared" si="7"/>
        <v>I</v>
      </c>
      <c r="C72" s="9">
        <f t="shared" si="8"/>
        <v>43326.771999999997</v>
      </c>
      <c r="D72" s="13" t="str">
        <f t="shared" si="9"/>
        <v>vis</v>
      </c>
      <c r="E72" s="50">
        <f>VLOOKUP(C72,Active!C$21:E$967,3,FALSE)</f>
        <v>-8078.006802879635</v>
      </c>
      <c r="F72" s="16" t="s">
        <v>62</v>
      </c>
      <c r="G72" s="13" t="str">
        <f t="shared" si="10"/>
        <v>43326.772</v>
      </c>
      <c r="H72" s="9">
        <f t="shared" si="11"/>
        <v>5753</v>
      </c>
      <c r="I72" s="51" t="s">
        <v>201</v>
      </c>
      <c r="J72" s="52" t="s">
        <v>202</v>
      </c>
      <c r="K72" s="51">
        <v>5753</v>
      </c>
      <c r="L72" s="51" t="s">
        <v>186</v>
      </c>
      <c r="M72" s="52" t="s">
        <v>195</v>
      </c>
      <c r="N72" s="52"/>
      <c r="O72" s="53" t="s">
        <v>203</v>
      </c>
      <c r="P72" s="53" t="s">
        <v>197</v>
      </c>
    </row>
    <row r="73" spans="1:16" ht="12.75" customHeight="1" thickBot="1">
      <c r="A73" s="9" t="str">
        <f t="shared" si="6"/>
        <v> AOEB 8 </v>
      </c>
      <c r="B73" s="16" t="str">
        <f t="shared" si="7"/>
        <v>I</v>
      </c>
      <c r="C73" s="9">
        <f t="shared" si="8"/>
        <v>43701.771000000001</v>
      </c>
      <c r="D73" s="13" t="str">
        <f t="shared" si="9"/>
        <v>vis</v>
      </c>
      <c r="E73" s="50">
        <f>VLOOKUP(C73,Active!C$21:E$967,3,FALSE)</f>
        <v>-7848.01464103341</v>
      </c>
      <c r="F73" s="16" t="s">
        <v>62</v>
      </c>
      <c r="G73" s="13" t="str">
        <f t="shared" si="10"/>
        <v>43701.771</v>
      </c>
      <c r="H73" s="9">
        <f t="shared" si="11"/>
        <v>5983</v>
      </c>
      <c r="I73" s="51" t="s">
        <v>204</v>
      </c>
      <c r="J73" s="52" t="s">
        <v>205</v>
      </c>
      <c r="K73" s="51">
        <v>5983</v>
      </c>
      <c r="L73" s="51" t="s">
        <v>98</v>
      </c>
      <c r="M73" s="52" t="s">
        <v>195</v>
      </c>
      <c r="N73" s="52"/>
      <c r="O73" s="53" t="s">
        <v>203</v>
      </c>
      <c r="P73" s="53" t="s">
        <v>197</v>
      </c>
    </row>
    <row r="74" spans="1:16" ht="12.75" customHeight="1" thickBot="1">
      <c r="A74" s="9" t="str">
        <f t="shared" si="6"/>
        <v> AOEB 8 </v>
      </c>
      <c r="B74" s="16" t="str">
        <f t="shared" si="7"/>
        <v>I</v>
      </c>
      <c r="C74" s="9">
        <f t="shared" si="8"/>
        <v>44081.694000000003</v>
      </c>
      <c r="D74" s="13" t="str">
        <f t="shared" si="9"/>
        <v>vis</v>
      </c>
      <c r="E74" s="50">
        <f>VLOOKUP(C74,Active!C$21:E$967,3,FALSE)</f>
        <v>-7615.0025207208146</v>
      </c>
      <c r="F74" s="16" t="s">
        <v>62</v>
      </c>
      <c r="G74" s="13" t="str">
        <f t="shared" si="10"/>
        <v>44081.694</v>
      </c>
      <c r="H74" s="9">
        <f t="shared" si="11"/>
        <v>6216</v>
      </c>
      <c r="I74" s="51" t="s">
        <v>206</v>
      </c>
      <c r="J74" s="52" t="s">
        <v>207</v>
      </c>
      <c r="K74" s="51">
        <v>6216</v>
      </c>
      <c r="L74" s="51" t="s">
        <v>208</v>
      </c>
      <c r="M74" s="52" t="s">
        <v>195</v>
      </c>
      <c r="N74" s="52"/>
      <c r="O74" s="53" t="s">
        <v>203</v>
      </c>
      <c r="P74" s="53" t="s">
        <v>197</v>
      </c>
    </row>
    <row r="75" spans="1:16" ht="12.75" customHeight="1" thickBot="1">
      <c r="A75" s="9" t="str">
        <f t="shared" ref="A75:A89" si="12">P75</f>
        <v> AOEB 8 </v>
      </c>
      <c r="B75" s="16" t="str">
        <f t="shared" ref="B75:B89" si="13">IF(H75=INT(H75),"I","II")</f>
        <v>I</v>
      </c>
      <c r="C75" s="9">
        <f t="shared" ref="C75:C89" si="14">1*G75</f>
        <v>44593.656999999999</v>
      </c>
      <c r="D75" s="13" t="str">
        <f t="shared" ref="D75:D89" si="15">VLOOKUP(F75,I$1:J$5,2,FALSE)</f>
        <v>vis</v>
      </c>
      <c r="E75" s="50">
        <f>VLOOKUP(C75,Active!C$21:E$967,3,FALSE)</f>
        <v>-7301.0084109891177</v>
      </c>
      <c r="F75" s="16" t="s">
        <v>62</v>
      </c>
      <c r="G75" s="13" t="str">
        <f t="shared" ref="G75:G89" si="16">MID(I75,3,LEN(I75)-3)</f>
        <v>44593.657</v>
      </c>
      <c r="H75" s="9">
        <f t="shared" ref="H75:H89" si="17">1*K75</f>
        <v>6530</v>
      </c>
      <c r="I75" s="51" t="s">
        <v>209</v>
      </c>
      <c r="J75" s="52" t="s">
        <v>210</v>
      </c>
      <c r="K75" s="51">
        <v>6530</v>
      </c>
      <c r="L75" s="51" t="s">
        <v>211</v>
      </c>
      <c r="M75" s="52" t="s">
        <v>195</v>
      </c>
      <c r="N75" s="52"/>
      <c r="O75" s="53" t="s">
        <v>203</v>
      </c>
      <c r="P75" s="53" t="s">
        <v>197</v>
      </c>
    </row>
    <row r="76" spans="1:16" ht="12.75" customHeight="1" thickBot="1">
      <c r="A76" s="9" t="str">
        <f t="shared" si="12"/>
        <v> AOEB 8 </v>
      </c>
      <c r="B76" s="16" t="str">
        <f t="shared" si="13"/>
        <v>I</v>
      </c>
      <c r="C76" s="9">
        <f t="shared" si="14"/>
        <v>45193.678</v>
      </c>
      <c r="D76" s="13" t="str">
        <f t="shared" si="15"/>
        <v>vis</v>
      </c>
      <c r="E76" s="50">
        <f>VLOOKUP(C76,Active!C$21:E$967,3,FALSE)</f>
        <v>-6933.007091137245</v>
      </c>
      <c r="F76" s="16" t="s">
        <v>62</v>
      </c>
      <c r="G76" s="13" t="str">
        <f t="shared" si="16"/>
        <v>45193.678</v>
      </c>
      <c r="H76" s="9">
        <f t="shared" si="17"/>
        <v>6898</v>
      </c>
      <c r="I76" s="51" t="s">
        <v>212</v>
      </c>
      <c r="J76" s="52" t="s">
        <v>213</v>
      </c>
      <c r="K76" s="51">
        <v>6898</v>
      </c>
      <c r="L76" s="51" t="s">
        <v>214</v>
      </c>
      <c r="M76" s="52" t="s">
        <v>195</v>
      </c>
      <c r="N76" s="52"/>
      <c r="O76" s="53" t="s">
        <v>203</v>
      </c>
      <c r="P76" s="53" t="s">
        <v>197</v>
      </c>
    </row>
    <row r="77" spans="1:16" ht="12.75" customHeight="1" thickBot="1">
      <c r="A77" s="9" t="str">
        <f t="shared" si="12"/>
        <v> AOEB 8 </v>
      </c>
      <c r="B77" s="16" t="str">
        <f t="shared" si="13"/>
        <v>I</v>
      </c>
      <c r="C77" s="9">
        <f t="shared" si="14"/>
        <v>45643.686999999998</v>
      </c>
      <c r="D77" s="13" t="str">
        <f t="shared" si="15"/>
        <v>vis</v>
      </c>
      <c r="E77" s="50">
        <f>VLOOKUP(C77,Active!C$21:E$967,3,FALSE)</f>
        <v>-6657.0102411182943</v>
      </c>
      <c r="F77" s="16" t="s">
        <v>62</v>
      </c>
      <c r="G77" s="13" t="str">
        <f t="shared" si="16"/>
        <v>45643.687</v>
      </c>
      <c r="H77" s="9">
        <f t="shared" si="17"/>
        <v>7174</v>
      </c>
      <c r="I77" s="51" t="s">
        <v>215</v>
      </c>
      <c r="J77" s="52" t="s">
        <v>216</v>
      </c>
      <c r="K77" s="51">
        <v>7174</v>
      </c>
      <c r="L77" s="51" t="s">
        <v>211</v>
      </c>
      <c r="M77" s="52" t="s">
        <v>195</v>
      </c>
      <c r="N77" s="52"/>
      <c r="O77" s="53" t="s">
        <v>203</v>
      </c>
      <c r="P77" s="53" t="s">
        <v>197</v>
      </c>
    </row>
    <row r="78" spans="1:16" ht="12.75" customHeight="1" thickBot="1">
      <c r="A78" s="9" t="str">
        <f t="shared" si="12"/>
        <v> AOEB 8 </v>
      </c>
      <c r="B78" s="16" t="str">
        <f t="shared" si="13"/>
        <v>I</v>
      </c>
      <c r="C78" s="9">
        <f t="shared" si="14"/>
        <v>46804.607000000004</v>
      </c>
      <c r="D78" s="13" t="str">
        <f t="shared" si="15"/>
        <v>vis</v>
      </c>
      <c r="E78" s="50">
        <f>VLOOKUP(C78,Active!C$21:E$967,3,FALSE)</f>
        <v>-5945.0016743474016</v>
      </c>
      <c r="F78" s="16" t="s">
        <v>62</v>
      </c>
      <c r="G78" s="13" t="str">
        <f t="shared" si="16"/>
        <v>46804.607</v>
      </c>
      <c r="H78" s="9">
        <f t="shared" si="17"/>
        <v>7886</v>
      </c>
      <c r="I78" s="51" t="s">
        <v>217</v>
      </c>
      <c r="J78" s="52" t="s">
        <v>218</v>
      </c>
      <c r="K78" s="51">
        <v>7886</v>
      </c>
      <c r="L78" s="51" t="s">
        <v>159</v>
      </c>
      <c r="M78" s="52" t="s">
        <v>195</v>
      </c>
      <c r="N78" s="52"/>
      <c r="O78" s="53" t="s">
        <v>203</v>
      </c>
      <c r="P78" s="53" t="s">
        <v>197</v>
      </c>
    </row>
    <row r="79" spans="1:16" ht="12.75" customHeight="1" thickBot="1">
      <c r="A79" s="9" t="str">
        <f t="shared" si="12"/>
        <v> AOEB 8 </v>
      </c>
      <c r="B79" s="16" t="str">
        <f t="shared" si="13"/>
        <v>I</v>
      </c>
      <c r="C79" s="9">
        <f t="shared" si="14"/>
        <v>47681.792000000001</v>
      </c>
      <c r="D79" s="13" t="str">
        <f t="shared" si="15"/>
        <v>vis</v>
      </c>
      <c r="E79" s="50">
        <f>VLOOKUP(C79,Active!C$21:E$967,3,FALSE)</f>
        <v>-5407.0117744034605</v>
      </c>
      <c r="F79" s="16" t="s">
        <v>62</v>
      </c>
      <c r="G79" s="13" t="str">
        <f t="shared" si="16"/>
        <v>47681.792</v>
      </c>
      <c r="H79" s="9">
        <f t="shared" si="17"/>
        <v>8424</v>
      </c>
      <c r="I79" s="51" t="s">
        <v>219</v>
      </c>
      <c r="J79" s="52" t="s">
        <v>220</v>
      </c>
      <c r="K79" s="51">
        <v>8424</v>
      </c>
      <c r="L79" s="51" t="s">
        <v>214</v>
      </c>
      <c r="M79" s="52" t="s">
        <v>195</v>
      </c>
      <c r="N79" s="52"/>
      <c r="O79" s="53" t="s">
        <v>203</v>
      </c>
      <c r="P79" s="53" t="s">
        <v>197</v>
      </c>
    </row>
    <row r="80" spans="1:16" ht="12.75" customHeight="1" thickBot="1">
      <c r="A80" s="9" t="str">
        <f t="shared" si="12"/>
        <v> AOEB 8 </v>
      </c>
      <c r="B80" s="16" t="str">
        <f t="shared" si="13"/>
        <v>I</v>
      </c>
      <c r="C80" s="9">
        <f t="shared" si="14"/>
        <v>51842.811999999998</v>
      </c>
      <c r="D80" s="13" t="str">
        <f t="shared" si="15"/>
        <v>vis</v>
      </c>
      <c r="E80" s="50">
        <f>VLOOKUP(C80,Active!C$21:E$967,3,FALSE)</f>
        <v>-2854.9996749435468</v>
      </c>
      <c r="F80" s="16" t="s">
        <v>62</v>
      </c>
      <c r="G80" s="13" t="str">
        <f t="shared" si="16"/>
        <v>51842.812</v>
      </c>
      <c r="H80" s="9">
        <f t="shared" si="17"/>
        <v>10976</v>
      </c>
      <c r="I80" s="51" t="s">
        <v>244</v>
      </c>
      <c r="J80" s="52" t="s">
        <v>245</v>
      </c>
      <c r="K80" s="51">
        <v>10976</v>
      </c>
      <c r="L80" s="51" t="s">
        <v>246</v>
      </c>
      <c r="M80" s="52" t="s">
        <v>195</v>
      </c>
      <c r="N80" s="52"/>
      <c r="O80" s="53" t="s">
        <v>247</v>
      </c>
      <c r="P80" s="53" t="s">
        <v>197</v>
      </c>
    </row>
    <row r="81" spans="1:16" ht="12.75" customHeight="1" thickBot="1">
      <c r="A81" s="9" t="str">
        <f t="shared" si="12"/>
        <v> AOEB 8 </v>
      </c>
      <c r="B81" s="16" t="str">
        <f t="shared" si="13"/>
        <v>I</v>
      </c>
      <c r="C81" s="9">
        <f t="shared" si="14"/>
        <v>52245.5409</v>
      </c>
      <c r="D81" s="13" t="str">
        <f t="shared" si="15"/>
        <v>vis</v>
      </c>
      <c r="E81" s="50">
        <f>VLOOKUP(C81,Active!C$21:E$967,3,FALSE)</f>
        <v>-2608.0003753482101</v>
      </c>
      <c r="F81" s="16" t="s">
        <v>62</v>
      </c>
      <c r="G81" s="13" t="str">
        <f t="shared" si="16"/>
        <v>52245.5409</v>
      </c>
      <c r="H81" s="9">
        <f t="shared" si="17"/>
        <v>11223</v>
      </c>
      <c r="I81" s="51" t="s">
        <v>248</v>
      </c>
      <c r="J81" s="52" t="s">
        <v>249</v>
      </c>
      <c r="K81" s="51">
        <v>11223</v>
      </c>
      <c r="L81" s="51" t="s">
        <v>250</v>
      </c>
      <c r="M81" s="52" t="s">
        <v>251</v>
      </c>
      <c r="N81" s="52" t="s">
        <v>252</v>
      </c>
      <c r="O81" s="53" t="s">
        <v>203</v>
      </c>
      <c r="P81" s="53" t="s">
        <v>197</v>
      </c>
    </row>
    <row r="82" spans="1:16" ht="12.75" customHeight="1" thickBot="1">
      <c r="A82" s="9" t="str">
        <f t="shared" si="12"/>
        <v> AOEB 8 </v>
      </c>
      <c r="B82" s="16" t="str">
        <f t="shared" si="13"/>
        <v>I</v>
      </c>
      <c r="C82" s="9">
        <f t="shared" si="14"/>
        <v>52602.619200000001</v>
      </c>
      <c r="D82" s="13" t="str">
        <f t="shared" si="15"/>
        <v>vis</v>
      </c>
      <c r="E82" s="50">
        <f>VLOOKUP(C82,Active!C$21:E$967,3,FALSE)</f>
        <v>-2388.9992309041604</v>
      </c>
      <c r="F82" s="16" t="s">
        <v>62</v>
      </c>
      <c r="G82" s="13" t="str">
        <f t="shared" si="16"/>
        <v>52602.6192</v>
      </c>
      <c r="H82" s="9">
        <f t="shared" si="17"/>
        <v>11442</v>
      </c>
      <c r="I82" s="51" t="s">
        <v>253</v>
      </c>
      <c r="J82" s="52" t="s">
        <v>254</v>
      </c>
      <c r="K82" s="51">
        <v>11442</v>
      </c>
      <c r="L82" s="51" t="s">
        <v>255</v>
      </c>
      <c r="M82" s="52" t="s">
        <v>251</v>
      </c>
      <c r="N82" s="52" t="s">
        <v>252</v>
      </c>
      <c r="O82" s="53" t="s">
        <v>256</v>
      </c>
      <c r="P82" s="53" t="s">
        <v>197</v>
      </c>
    </row>
    <row r="83" spans="1:16" ht="12.75" customHeight="1" thickBot="1">
      <c r="A83" s="9" t="str">
        <f t="shared" si="12"/>
        <v> AOEB 8 </v>
      </c>
      <c r="B83" s="16" t="str">
        <f t="shared" si="13"/>
        <v>I</v>
      </c>
      <c r="C83" s="9">
        <f t="shared" si="14"/>
        <v>52620.552600000003</v>
      </c>
      <c r="D83" s="13" t="str">
        <f t="shared" si="15"/>
        <v>vis</v>
      </c>
      <c r="E83" s="50">
        <f>VLOOKUP(C83,Active!C$21:E$967,3,FALSE)</f>
        <v>-2378.0004244133338</v>
      </c>
      <c r="F83" s="16" t="s">
        <v>62</v>
      </c>
      <c r="G83" s="13" t="str">
        <f t="shared" si="16"/>
        <v>52620.5526</v>
      </c>
      <c r="H83" s="9">
        <f t="shared" si="17"/>
        <v>11453</v>
      </c>
      <c r="I83" s="51" t="s">
        <v>257</v>
      </c>
      <c r="J83" s="52" t="s">
        <v>258</v>
      </c>
      <c r="K83" s="51">
        <v>11453</v>
      </c>
      <c r="L83" s="51" t="s">
        <v>259</v>
      </c>
      <c r="M83" s="52" t="s">
        <v>251</v>
      </c>
      <c r="N83" s="52" t="s">
        <v>252</v>
      </c>
      <c r="O83" s="53" t="s">
        <v>260</v>
      </c>
      <c r="P83" s="53" t="s">
        <v>197</v>
      </c>
    </row>
    <row r="84" spans="1:16" ht="12.75" customHeight="1" thickBot="1">
      <c r="A84" s="9" t="str">
        <f t="shared" si="12"/>
        <v> AOEB 12 </v>
      </c>
      <c r="B84" s="16" t="str">
        <f t="shared" si="13"/>
        <v>I</v>
      </c>
      <c r="C84" s="9">
        <f t="shared" si="14"/>
        <v>53197.744200000001</v>
      </c>
      <c r="D84" s="13" t="str">
        <f t="shared" si="15"/>
        <v>vis</v>
      </c>
      <c r="E84" s="50">
        <f>VLOOKUP(C84,Active!C$21:E$967,3,FALSE)</f>
        <v>-2024.0006967247807</v>
      </c>
      <c r="F84" s="16" t="s">
        <v>62</v>
      </c>
      <c r="G84" s="13" t="str">
        <f t="shared" si="16"/>
        <v>53197.7442</v>
      </c>
      <c r="H84" s="9">
        <f t="shared" si="17"/>
        <v>11807</v>
      </c>
      <c r="I84" s="51" t="s">
        <v>261</v>
      </c>
      <c r="J84" s="52" t="s">
        <v>262</v>
      </c>
      <c r="K84" s="51">
        <v>11807</v>
      </c>
      <c r="L84" s="51" t="s">
        <v>263</v>
      </c>
      <c r="M84" s="52" t="s">
        <v>251</v>
      </c>
      <c r="N84" s="52" t="s">
        <v>252</v>
      </c>
      <c r="O84" s="53" t="s">
        <v>264</v>
      </c>
      <c r="P84" s="53" t="s">
        <v>265</v>
      </c>
    </row>
    <row r="85" spans="1:16" ht="12.75" customHeight="1" thickBot="1">
      <c r="A85" s="9" t="str">
        <f t="shared" si="12"/>
        <v> AOEB 12 </v>
      </c>
      <c r="B85" s="16" t="str">
        <f t="shared" si="13"/>
        <v>I</v>
      </c>
      <c r="C85" s="9">
        <f t="shared" si="14"/>
        <v>53890.701699999998</v>
      </c>
      <c r="D85" s="13" t="str">
        <f t="shared" si="15"/>
        <v>vis</v>
      </c>
      <c r="E85" s="50">
        <f>VLOOKUP(C85,Active!C$21:E$967,3,FALSE)</f>
        <v>-1599.0001140764189</v>
      </c>
      <c r="F85" s="16" t="s">
        <v>62</v>
      </c>
      <c r="G85" s="13" t="str">
        <f t="shared" si="16"/>
        <v>53890.7017</v>
      </c>
      <c r="H85" s="9">
        <f t="shared" si="17"/>
        <v>12232</v>
      </c>
      <c r="I85" s="51" t="s">
        <v>266</v>
      </c>
      <c r="J85" s="52" t="s">
        <v>267</v>
      </c>
      <c r="K85" s="51">
        <v>12232</v>
      </c>
      <c r="L85" s="51" t="s">
        <v>268</v>
      </c>
      <c r="M85" s="52" t="s">
        <v>251</v>
      </c>
      <c r="N85" s="52" t="s">
        <v>252</v>
      </c>
      <c r="O85" s="53" t="s">
        <v>203</v>
      </c>
      <c r="P85" s="53" t="s">
        <v>265</v>
      </c>
    </row>
    <row r="86" spans="1:16" ht="12.75" customHeight="1" thickBot="1">
      <c r="A86" s="9" t="str">
        <f t="shared" si="12"/>
        <v> AOEB 12 </v>
      </c>
      <c r="B86" s="16" t="str">
        <f t="shared" si="13"/>
        <v>I</v>
      </c>
      <c r="C86" s="9">
        <f t="shared" si="14"/>
        <v>54260.822399999997</v>
      </c>
      <c r="D86" s="13" t="str">
        <f t="shared" si="15"/>
        <v>vis</v>
      </c>
      <c r="E86" s="50">
        <f>VLOOKUP(C86,Active!C$21:E$967,3,FALSE)</f>
        <v>-1371.9998822437019</v>
      </c>
      <c r="F86" s="16" t="s">
        <v>62</v>
      </c>
      <c r="G86" s="13" t="str">
        <f t="shared" si="16"/>
        <v>54260.8224</v>
      </c>
      <c r="H86" s="9">
        <f t="shared" si="17"/>
        <v>12459</v>
      </c>
      <c r="I86" s="51" t="s">
        <v>274</v>
      </c>
      <c r="J86" s="52" t="s">
        <v>275</v>
      </c>
      <c r="K86" s="51">
        <v>12459</v>
      </c>
      <c r="L86" s="51" t="s">
        <v>276</v>
      </c>
      <c r="M86" s="52" t="s">
        <v>251</v>
      </c>
      <c r="N86" s="52" t="s">
        <v>252</v>
      </c>
      <c r="O86" s="53" t="s">
        <v>203</v>
      </c>
      <c r="P86" s="53" t="s">
        <v>265</v>
      </c>
    </row>
    <row r="87" spans="1:16" ht="12.75" customHeight="1" thickBot="1">
      <c r="A87" s="9" t="str">
        <f t="shared" si="12"/>
        <v> AOEB 12 </v>
      </c>
      <c r="B87" s="16" t="str">
        <f t="shared" si="13"/>
        <v>I</v>
      </c>
      <c r="C87" s="9">
        <f t="shared" si="14"/>
        <v>54296.692199999998</v>
      </c>
      <c r="D87" s="13" t="str">
        <f t="shared" si="15"/>
        <v>vis</v>
      </c>
      <c r="E87" s="50">
        <f>VLOOKUP(C87,Active!C$21:E$967,3,FALSE)</f>
        <v>-1350.0004293198494</v>
      </c>
      <c r="F87" s="16" t="s">
        <v>62</v>
      </c>
      <c r="G87" s="13" t="str">
        <f t="shared" si="16"/>
        <v>54296.6922</v>
      </c>
      <c r="H87" s="9">
        <f t="shared" si="17"/>
        <v>12481</v>
      </c>
      <c r="I87" s="51" t="s">
        <v>277</v>
      </c>
      <c r="J87" s="52" t="s">
        <v>278</v>
      </c>
      <c r="K87" s="51">
        <v>12481</v>
      </c>
      <c r="L87" s="51" t="s">
        <v>279</v>
      </c>
      <c r="M87" s="52" t="s">
        <v>251</v>
      </c>
      <c r="N87" s="52" t="s">
        <v>252</v>
      </c>
      <c r="O87" s="53" t="s">
        <v>203</v>
      </c>
      <c r="P87" s="53" t="s">
        <v>265</v>
      </c>
    </row>
    <row r="88" spans="1:16" ht="12.75" customHeight="1" thickBot="1">
      <c r="A88" s="9" t="str">
        <f t="shared" si="12"/>
        <v>BAVM 225 </v>
      </c>
      <c r="B88" s="16" t="str">
        <f t="shared" si="13"/>
        <v>II</v>
      </c>
      <c r="C88" s="9">
        <f t="shared" si="14"/>
        <v>55802.445500000002</v>
      </c>
      <c r="D88" s="13" t="str">
        <f t="shared" si="15"/>
        <v>vis</v>
      </c>
      <c r="E88" s="50">
        <f>VLOOKUP(C88,Active!C$21:E$967,3,FALSE)</f>
        <v>-426.50074885647609</v>
      </c>
      <c r="F88" s="16" t="s">
        <v>62</v>
      </c>
      <c r="G88" s="13" t="str">
        <f t="shared" si="16"/>
        <v>55802.4455</v>
      </c>
      <c r="H88" s="9">
        <f t="shared" si="17"/>
        <v>13404.5</v>
      </c>
      <c r="I88" s="51" t="s">
        <v>316</v>
      </c>
      <c r="J88" s="52" t="s">
        <v>317</v>
      </c>
      <c r="K88" s="51" t="s">
        <v>318</v>
      </c>
      <c r="L88" s="51" t="s">
        <v>319</v>
      </c>
      <c r="M88" s="52" t="s">
        <v>251</v>
      </c>
      <c r="N88" s="52" t="s">
        <v>314</v>
      </c>
      <c r="O88" s="53" t="s">
        <v>315</v>
      </c>
      <c r="P88" s="54" t="s">
        <v>320</v>
      </c>
    </row>
    <row r="89" spans="1:16" ht="12.75" customHeight="1" thickBot="1">
      <c r="A89" s="9" t="str">
        <f t="shared" si="12"/>
        <v> JAAVSO 41;122 </v>
      </c>
      <c r="B89" s="16" t="str">
        <f t="shared" si="13"/>
        <v>I</v>
      </c>
      <c r="C89" s="9">
        <f t="shared" si="14"/>
        <v>56153.8171</v>
      </c>
      <c r="D89" s="13" t="str">
        <f t="shared" si="15"/>
        <v>vis</v>
      </c>
      <c r="E89" s="50" t="e">
        <f>VLOOKUP(C89,Active!C$21:E$967,3,FALSE)</f>
        <v>#N/A</v>
      </c>
      <c r="F89" s="16" t="s">
        <v>62</v>
      </c>
      <c r="G89" s="13" t="str">
        <f t="shared" si="16"/>
        <v>56153.8171</v>
      </c>
      <c r="H89" s="9">
        <f t="shared" si="17"/>
        <v>13620</v>
      </c>
      <c r="I89" s="51" t="s">
        <v>321</v>
      </c>
      <c r="J89" s="52" t="s">
        <v>322</v>
      </c>
      <c r="K89" s="51" t="s">
        <v>323</v>
      </c>
      <c r="L89" s="51" t="s">
        <v>324</v>
      </c>
      <c r="M89" s="52" t="s">
        <v>251</v>
      </c>
      <c r="N89" s="52" t="s">
        <v>62</v>
      </c>
      <c r="O89" s="53" t="s">
        <v>325</v>
      </c>
      <c r="P89" s="53" t="s">
        <v>326</v>
      </c>
    </row>
    <row r="90" spans="1:16">
      <c r="B90" s="16"/>
      <c r="F90" s="16"/>
    </row>
    <row r="91" spans="1:16">
      <c r="B91" s="16"/>
      <c r="F91" s="16"/>
    </row>
    <row r="92" spans="1:16">
      <c r="B92" s="16"/>
      <c r="F92" s="16"/>
    </row>
    <row r="93" spans="1:16">
      <c r="B93" s="16"/>
      <c r="F93" s="16"/>
    </row>
    <row r="94" spans="1:16">
      <c r="B94" s="16"/>
      <c r="F94" s="16"/>
    </row>
    <row r="95" spans="1:16">
      <c r="B95" s="16"/>
      <c r="F95" s="16"/>
    </row>
    <row r="96" spans="1:1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</sheetData>
  <phoneticPr fontId="8" type="noConversion"/>
  <hyperlinks>
    <hyperlink ref="P11" r:id="rId1" display="http://www.bav-astro.de/sfs/BAVM_link.php?BAVMnr=132" xr:uid="{00000000-0004-0000-0100-000000000000}"/>
    <hyperlink ref="P12" r:id="rId2" display="http://www.bav-astro.de/sfs/BAVM_link.php?BAVMnr=132" xr:uid="{00000000-0004-0000-0100-000001000000}"/>
    <hyperlink ref="P13" r:id="rId3" display="http://www.bav-astro.de/sfs/BAVM_link.php?BAVMnr=132" xr:uid="{00000000-0004-0000-0100-000002000000}"/>
    <hyperlink ref="P14" r:id="rId4" display="http://www.bav-astro.de/sfs/BAVM_link.php?BAVMnr=132" xr:uid="{00000000-0004-0000-0100-000003000000}"/>
    <hyperlink ref="P15" r:id="rId5" display="http://www.bav-astro.de/sfs/BAVM_link.php?BAVMnr=132" xr:uid="{00000000-0004-0000-0100-000004000000}"/>
    <hyperlink ref="P16" r:id="rId6" display="http://www.bav-astro.de/sfs/BAVM_link.php?BAVMnr=132" xr:uid="{00000000-0004-0000-0100-000005000000}"/>
    <hyperlink ref="P18" r:id="rId7" display="http://www.aavso.org/sites/default/files/jaavso/v36n2/186.pdf" xr:uid="{00000000-0004-0000-0100-000006000000}"/>
    <hyperlink ref="P19" r:id="rId8" display="http://www.aavso.org/sites/default/files/jaavso/v36n2/186.pdf" xr:uid="{00000000-0004-0000-0100-000007000000}"/>
    <hyperlink ref="P20" r:id="rId9" display="http://www.aavso.org/sites/default/files/jaavso/v36n2/186.pdf" xr:uid="{00000000-0004-0000-0100-000008000000}"/>
    <hyperlink ref="P21" r:id="rId10" display="http://www.aavso.org/sites/default/files/jaavso/v37n1/7(1),44.pdf" xr:uid="{00000000-0004-0000-0100-000009000000}"/>
    <hyperlink ref="P24" r:id="rId11" display="http://www.bav-astro.de/sfs/BAVM_link.php?BAVMnr=220" xr:uid="{00000000-0004-0000-0100-00000A000000}"/>
    <hyperlink ref="P26" r:id="rId12" display="http://www.bav-astro.de/sfs/BAVM_link.php?BAVMnr=220" xr:uid="{00000000-0004-0000-0100-00000B000000}"/>
    <hyperlink ref="P88" r:id="rId13" display="http://www.bav-astro.de/sfs/BAVM_link.php?BAVMnr=225" xr:uid="{00000000-0004-0000-0100-00000C000000}"/>
    <hyperlink ref="P27" r:id="rId14" display="http://www.konkoly.hu/cgi-bin/IBVS?6042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2024-09-21T07:33:31Z</dcterms:modified>
</cp:coreProperties>
</file>